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queryTables/queryTable3.xml" ContentType="application/vnd.openxmlformats-officedocument.spreadsheetml.queryTable+xml"/>
  <Override PartName="/xl/tables/table7.xml" ContentType="application/vnd.openxmlformats-officedocument.spreadsheetml.table+xml"/>
  <Override PartName="/xl/queryTables/queryTable4.xml" ContentType="application/vnd.openxmlformats-officedocument.spreadsheetml.query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8.xml" ContentType="application/vnd.openxmlformats-officedocument.spreadsheetml.table+xml"/>
  <Override PartName="/xl/queryTables/queryTable5.xml" ContentType="application/vnd.openxmlformats-officedocument.spreadsheetml.query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enne_projektmappe" defaultThemeVersion="124226"/>
  <mc:AlternateContent xmlns:mc="http://schemas.openxmlformats.org/markup-compatibility/2006">
    <mc:Choice Requires="x15">
      <x15ac:absPath xmlns:x15ac="http://schemas.microsoft.com/office/spreadsheetml/2010/11/ac" url="https://aarhusuniversitet-my.sharepoint.com/personal/au233898_uni_au_dk/Documents/Documents/Økonomiopgaver/Retningslinjer Eksternt finansierede Projekter/Til sektionslederne/"/>
    </mc:Choice>
  </mc:AlternateContent>
  <xr:revisionPtr revIDLastSave="29" documentId="8_{BC165D72-D07A-46D6-898B-6893743595A0}" xr6:coauthVersionLast="47" xr6:coauthVersionMax="47" xr10:uidLastSave="{D8903376-F8C6-4709-9EF1-35CB7758C968}"/>
  <bookViews>
    <workbookView xWindow="-38520" yWindow="2880" windowWidth="38640" windowHeight="21120" tabRatio="913" firstSheet="6" activeTab="8" xr2:uid="{00000000-000D-0000-FFFF-FFFF00000000}"/>
  </bookViews>
  <sheets>
    <sheet name="Takstblad" sheetId="46" state="hidden" r:id="rId1"/>
    <sheet name="GrantSource" sheetId="113" state="hidden" r:id="rId2"/>
    <sheet name="Instrument" sheetId="114" state="hidden" r:id="rId3"/>
    <sheet name="Section" sheetId="115" state="hidden" r:id="rId4"/>
    <sheet name="Economists" sheetId="116" state="hidden" r:id="rId5"/>
    <sheet name="Lister" sheetId="48" state="hidden" r:id="rId6"/>
    <sheet name="Guide" sheetId="111" r:id="rId7"/>
    <sheet name="ReAp" sheetId="107" state="hidden" r:id="rId8"/>
    <sheet name="Cover letter ING" sheetId="104" r:id="rId9"/>
    <sheet name="Cover letter" sheetId="102" r:id="rId10"/>
    <sheet name="Currency" sheetId="108" state="hidden" r:id="rId11"/>
    <sheet name="B1" sheetId="28" r:id="rId12"/>
    <sheet name="B2" sheetId="87" r:id="rId13"/>
    <sheet name="B3" sheetId="89" r:id="rId14"/>
    <sheet name="B4" sheetId="91" r:id="rId15"/>
    <sheet name="B5" sheetId="93" r:id="rId16"/>
    <sheet name="Total" sheetId="106" r:id="rId17"/>
    <sheet name="Total Other Currency" sheetId="110" r:id="rId18"/>
    <sheet name="PE" sheetId="112" r:id="rId19"/>
    <sheet name="Add new grant source" sheetId="117" r:id="rId20"/>
    <sheet name="Version control" sheetId="118" r:id="rId21"/>
  </sheets>
  <externalReferences>
    <externalReference r:id="rId22"/>
  </externalReferences>
  <definedNames>
    <definedName name="EksterneData_1" localSheetId="10" hidden="1">Currency!$A$1:$D$32</definedName>
    <definedName name="EksterneData_1" localSheetId="1" hidden="1">GrantSource!$A$1:$A$315</definedName>
    <definedName name="EksterneData_2" localSheetId="2" hidden="1">Instrument!$A$1:$B$460</definedName>
    <definedName name="EksterneData_2" localSheetId="3" hidden="1">Section!$A$1:$B$73</definedName>
    <definedName name="EksterneData_3" localSheetId="4" hidden="1">Economists!$A$1:$B$79</definedName>
    <definedName name="Instrument" localSheetId="17">INDEX(#REF!,#REF!):INDEX(#REF!,#REF!)</definedName>
    <definedName name="Instrument">INDEX(#REF!,#REF!):INDEX(#REF!,#REF!)</definedName>
    <definedName name="Instrument2" localSheetId="17">INDEX(#REF!,#REF!):INDEX(#REF!,#REF!)</definedName>
    <definedName name="Instrument2">INDEX(#REF!,#REF!):INDEX(#REF!,#REF!)</definedName>
    <definedName name="_xlnm.Print_Area" localSheetId="11">'B1'!$A$1:$AX$121</definedName>
    <definedName name="_xlnm.Print_Area" localSheetId="12">'B2'!$A$1:$AX$121</definedName>
    <definedName name="_xlnm.Print_Area" localSheetId="13">'B3'!$A$1:$AX$67</definedName>
    <definedName name="_xlnm.Print_Area" localSheetId="14">'B4'!$A$1:$AX$67</definedName>
    <definedName name="_xlnm.Print_Area" localSheetId="15">'B5'!$A$1:$AX$67</definedName>
    <definedName name="Sektioner" localSheetId="17">INDEX(#REF!,#REF!):INDEX(#REF!,#REF!)</definedName>
    <definedName name="Sektioner">INDEX(#REF!,#REF!):INDEX(#REF!,#REF!)</definedName>
    <definedName name="takstblad" localSheetId="9">[1]Takstblad!$A$2:$R$249</definedName>
    <definedName name="takstblad" localSheetId="8">[1]Takstblad!$A$2:$R$249</definedName>
    <definedName name="takstblad">Takstblad!$A$2:$T$273</definedName>
    <definedName name="TAP">Takstblad!$A$34:$A$51</definedName>
    <definedName name="Text2" localSheetId="9">'Cover letter'!#REF!</definedName>
    <definedName name="Text2" localSheetId="8">'Cover letter ING'!#REF!</definedName>
    <definedName name="Text3" localSheetId="9">'Cover letter'!$A$12</definedName>
    <definedName name="Text3" localSheetId="8">'Cover letter ING'!$A$12</definedName>
    <definedName name="VIP">Takstblad!$A$5:$A$30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46" l="1"/>
  <c r="O20" i="46" s="1"/>
  <c r="C13" i="28" l="1"/>
  <c r="D3" i="112"/>
  <c r="C45" i="89"/>
  <c r="C45" i="91"/>
  <c r="C45" i="93"/>
  <c r="AB44" i="87"/>
  <c r="AA44" i="87"/>
  <c r="Z44" i="87"/>
  <c r="Y44" i="87"/>
  <c r="X44" i="87"/>
  <c r="W44" i="87"/>
  <c r="V44" i="87"/>
  <c r="U44" i="87"/>
  <c r="T44" i="87"/>
  <c r="AB43" i="87"/>
  <c r="AA43" i="87"/>
  <c r="Z43" i="87"/>
  <c r="Y43" i="87"/>
  <c r="X43" i="87"/>
  <c r="W43" i="87"/>
  <c r="V43" i="87"/>
  <c r="U43" i="87"/>
  <c r="T43" i="87"/>
  <c r="AB44" i="89"/>
  <c r="AA44" i="89"/>
  <c r="Z44" i="89"/>
  <c r="Y44" i="89"/>
  <c r="X44" i="89"/>
  <c r="W44" i="89"/>
  <c r="V44" i="89"/>
  <c r="U44" i="89"/>
  <c r="T44" i="89"/>
  <c r="AB43" i="89"/>
  <c r="AA43" i="89"/>
  <c r="Z43" i="89"/>
  <c r="Y43" i="89"/>
  <c r="X43" i="89"/>
  <c r="W43" i="89"/>
  <c r="V43" i="89"/>
  <c r="U43" i="89"/>
  <c r="T43" i="89"/>
  <c r="AB44" i="91"/>
  <c r="AA44" i="91"/>
  <c r="Z44" i="91"/>
  <c r="Y44" i="91"/>
  <c r="X44" i="91"/>
  <c r="W44" i="91"/>
  <c r="V44" i="91"/>
  <c r="U44" i="91"/>
  <c r="T44" i="91"/>
  <c r="AB43" i="91"/>
  <c r="AA43" i="91"/>
  <c r="Z43" i="91"/>
  <c r="Y43" i="91"/>
  <c r="X43" i="91"/>
  <c r="W43" i="91"/>
  <c r="V43" i="91"/>
  <c r="U43" i="91"/>
  <c r="T43" i="91"/>
  <c r="AB44" i="93"/>
  <c r="AA44" i="93"/>
  <c r="Z44" i="93"/>
  <c r="Y44" i="93"/>
  <c r="X44" i="93"/>
  <c r="W44" i="93"/>
  <c r="V44" i="93"/>
  <c r="U44" i="93"/>
  <c r="T44" i="93"/>
  <c r="AB43" i="93"/>
  <c r="AA43" i="93"/>
  <c r="Z43" i="93"/>
  <c r="Y43" i="93"/>
  <c r="X43" i="93"/>
  <c r="W43" i="93"/>
  <c r="V43" i="93"/>
  <c r="U43" i="93"/>
  <c r="T43" i="93"/>
  <c r="C65" i="93" l="1"/>
  <c r="C63" i="93"/>
  <c r="L45" i="87"/>
  <c r="K45" i="87"/>
  <c r="J45" i="87"/>
  <c r="I45" i="87"/>
  <c r="H45" i="87"/>
  <c r="G45" i="87"/>
  <c r="F45" i="87"/>
  <c r="E45" i="87"/>
  <c r="D45" i="87"/>
  <c r="L45" i="89"/>
  <c r="K45" i="89"/>
  <c r="J45" i="89"/>
  <c r="I45" i="89"/>
  <c r="H45" i="89"/>
  <c r="G45" i="89"/>
  <c r="F45" i="89"/>
  <c r="E45" i="89"/>
  <c r="D45" i="89"/>
  <c r="L45" i="91"/>
  <c r="K45" i="91"/>
  <c r="J45" i="91"/>
  <c r="I45" i="91"/>
  <c r="H45" i="91"/>
  <c r="G45" i="91"/>
  <c r="F45" i="91"/>
  <c r="E45" i="91"/>
  <c r="D45" i="91"/>
  <c r="L45" i="93"/>
  <c r="K45" i="93"/>
  <c r="J45" i="93"/>
  <c r="I45" i="93"/>
  <c r="H45" i="93"/>
  <c r="G45" i="93"/>
  <c r="F45" i="93"/>
  <c r="E45" i="93"/>
  <c r="D45" i="93"/>
  <c r="L45" i="28"/>
  <c r="K45" i="28"/>
  <c r="J45" i="28"/>
  <c r="I45" i="28"/>
  <c r="H45" i="28"/>
  <c r="G45" i="28"/>
  <c r="F45" i="28"/>
  <c r="E45" i="28"/>
  <c r="D45" i="28"/>
  <c r="G6" i="28" l="1"/>
  <c r="G6" i="87"/>
  <c r="G7" i="28"/>
  <c r="G7" i="87"/>
  <c r="L49" i="87"/>
  <c r="K49" i="87"/>
  <c r="J49" i="87"/>
  <c r="I49" i="87"/>
  <c r="H49" i="87"/>
  <c r="G49" i="87"/>
  <c r="F49" i="87"/>
  <c r="E49" i="87"/>
  <c r="D49" i="87"/>
  <c r="L49" i="89"/>
  <c r="K49" i="89"/>
  <c r="J49" i="89"/>
  <c r="I49" i="89"/>
  <c r="H49" i="89"/>
  <c r="G49" i="89"/>
  <c r="F49" i="89"/>
  <c r="E49" i="89"/>
  <c r="D49" i="89"/>
  <c r="L49" i="91"/>
  <c r="K49" i="91"/>
  <c r="J49" i="91"/>
  <c r="I49" i="91"/>
  <c r="H49" i="91"/>
  <c r="G49" i="91"/>
  <c r="F49" i="91"/>
  <c r="E49" i="91"/>
  <c r="D49" i="91"/>
  <c r="L49" i="93"/>
  <c r="K49" i="93"/>
  <c r="J49" i="93"/>
  <c r="I49" i="93"/>
  <c r="H49" i="93"/>
  <c r="G49" i="93"/>
  <c r="F49" i="93"/>
  <c r="E49" i="93"/>
  <c r="D49" i="93"/>
  <c r="C49" i="87"/>
  <c r="S44" i="87" s="1"/>
  <c r="C49" i="89"/>
  <c r="S44" i="89" s="1"/>
  <c r="C49" i="91"/>
  <c r="S44" i="91" s="1"/>
  <c r="C49" i="93"/>
  <c r="S44" i="93" s="1"/>
  <c r="L48" i="87"/>
  <c r="K48" i="87"/>
  <c r="J48" i="87"/>
  <c r="I48" i="87"/>
  <c r="H48" i="87"/>
  <c r="G48" i="87"/>
  <c r="F48" i="87"/>
  <c r="E48" i="87"/>
  <c r="D48" i="87"/>
  <c r="C48" i="87"/>
  <c r="S43" i="87" s="1"/>
  <c r="K6" i="102" l="1"/>
  <c r="J6" i="104" a="1"/>
  <c r="J6" i="104" s="1"/>
  <c r="K6" i="104" s="1"/>
  <c r="J5" i="104" a="1"/>
  <c r="J5" i="104" s="1"/>
  <c r="K5" i="104" s="1"/>
  <c r="J6" i="102" a="1"/>
  <c r="J6" i="102" s="1"/>
  <c r="J5" i="102" a="1"/>
  <c r="J5" i="102" s="1"/>
  <c r="K5" i="102" s="1"/>
  <c r="D2" i="107" l="1"/>
  <c r="E2" i="107"/>
  <c r="C10" i="93" l="1"/>
  <c r="C10" i="91"/>
  <c r="C10" i="89"/>
  <c r="C10" i="87"/>
  <c r="C45" i="87" s="1"/>
  <c r="C10" i="28"/>
  <c r="C45" i="28" s="1"/>
  <c r="S45" i="28" s="1"/>
  <c r="C3" i="112"/>
  <c r="C7" i="93" l="1"/>
  <c r="C7" i="91"/>
  <c r="C7" i="89"/>
  <c r="C7" i="87"/>
  <c r="C7" i="28"/>
  <c r="C4" i="104"/>
  <c r="C3" i="104"/>
  <c r="C4" i="102" l="1"/>
  <c r="D68" i="46"/>
  <c r="E68" i="46" s="1"/>
  <c r="F68" i="46" s="1"/>
  <c r="G68" i="46" s="1"/>
  <c r="H68" i="46" s="1"/>
  <c r="I68" i="46" s="1"/>
  <c r="J68" i="46" s="1"/>
  <c r="K68" i="46" s="1"/>
  <c r="L68" i="46" s="1"/>
  <c r="B10" i="117"/>
  <c r="B7" i="117" s="1"/>
  <c r="AY2" i="107"/>
  <c r="P2" i="107" l="1"/>
  <c r="M2" i="107"/>
  <c r="L2" i="107"/>
  <c r="H2" i="107"/>
  <c r="G2" i="107"/>
  <c r="C2" i="107"/>
  <c r="B2" i="107"/>
  <c r="D3" i="114" a="1"/>
  <c r="D3" i="114" s="1"/>
  <c r="E3" i="102" l="1"/>
  <c r="G6" i="89"/>
  <c r="G6" i="91"/>
  <c r="G6" i="93"/>
  <c r="E2" i="115" l="1" a="1"/>
  <c r="E2" i="115" s="1"/>
  <c r="A2" i="107"/>
  <c r="G7" i="89"/>
  <c r="G7" i="91"/>
  <c r="G7" i="93"/>
  <c r="C8" i="87"/>
  <c r="C8" i="89"/>
  <c r="C8" i="91"/>
  <c r="C8" i="93"/>
  <c r="C8" i="28"/>
  <c r="F10" i="104"/>
  <c r="O2" i="107" s="1"/>
  <c r="C10" i="104"/>
  <c r="N2" i="107" s="1"/>
  <c r="H9" i="93"/>
  <c r="H9" i="91"/>
  <c r="H9" i="89"/>
  <c r="C9" i="93"/>
  <c r="C9" i="91"/>
  <c r="C9" i="89"/>
  <c r="H9" i="87"/>
  <c r="C9" i="87"/>
  <c r="F10" i="102"/>
  <c r="C10" i="102"/>
  <c r="N19" i="46"/>
  <c r="D19" i="46"/>
  <c r="E19" i="46" s="1"/>
  <c r="C19" i="46"/>
  <c r="B30" i="46"/>
  <c r="B29" i="46"/>
  <c r="B28" i="46"/>
  <c r="B27" i="46"/>
  <c r="B26" i="46"/>
  <c r="B25" i="46"/>
  <c r="B24" i="46"/>
  <c r="B23" i="46"/>
  <c r="B22" i="46"/>
  <c r="B21" i="46"/>
  <c r="B20" i="46"/>
  <c r="B19" i="46"/>
  <c r="B18" i="46"/>
  <c r="B17" i="46"/>
  <c r="B16" i="46"/>
  <c r="B15" i="46"/>
  <c r="B14" i="46"/>
  <c r="B13" i="46"/>
  <c r="B12" i="46"/>
  <c r="B11" i="46"/>
  <c r="B10" i="46"/>
  <c r="B9" i="46"/>
  <c r="B8" i="46"/>
  <c r="B7" i="46"/>
  <c r="B6" i="46"/>
  <c r="B5" i="46"/>
  <c r="D18" i="46"/>
  <c r="C13" i="87"/>
  <c r="C13" i="89"/>
  <c r="C13" i="91"/>
  <c r="C13" i="93"/>
  <c r="D68" i="87"/>
  <c r="D64" i="87" s="1"/>
  <c r="T87" i="87" s="1"/>
  <c r="D68" i="89"/>
  <c r="D64" i="89" s="1"/>
  <c r="T87" i="89" s="1"/>
  <c r="D68" i="91"/>
  <c r="D64" i="91" s="1"/>
  <c r="T87" i="91" s="1"/>
  <c r="D68" i="93"/>
  <c r="D64" i="93" s="1"/>
  <c r="T87" i="93" s="1"/>
  <c r="V105" i="89" l="1"/>
  <c r="X77" i="89"/>
  <c r="C6" i="89"/>
  <c r="U105" i="89"/>
  <c r="W77" i="89"/>
  <c r="S77" i="89"/>
  <c r="AB105" i="89"/>
  <c r="T105" i="89"/>
  <c r="V77" i="89"/>
  <c r="AA105" i="89"/>
  <c r="U77" i="89"/>
  <c r="Z105" i="89"/>
  <c r="AB77" i="89"/>
  <c r="T77" i="89"/>
  <c r="X105" i="89"/>
  <c r="Y105" i="89"/>
  <c r="AA77" i="89"/>
  <c r="W105" i="89"/>
  <c r="S105" i="89"/>
  <c r="Y77" i="89"/>
  <c r="Z77" i="89"/>
  <c r="U105" i="87"/>
  <c r="W77" i="87"/>
  <c r="S77" i="87"/>
  <c r="AB105" i="87"/>
  <c r="T105" i="87"/>
  <c r="V77" i="87"/>
  <c r="AA105" i="87"/>
  <c r="U77" i="87"/>
  <c r="Z105" i="87"/>
  <c r="AB77" i="87"/>
  <c r="T77" i="87"/>
  <c r="C6" i="87"/>
  <c r="Y105" i="87"/>
  <c r="AA77" i="87"/>
  <c r="S105" i="87"/>
  <c r="X105" i="87"/>
  <c r="Z77" i="87"/>
  <c r="W105" i="87"/>
  <c r="Y77" i="87"/>
  <c r="V105" i="87"/>
  <c r="X77" i="87"/>
  <c r="C6" i="28"/>
  <c r="AV2" i="107" s="1"/>
  <c r="Y105" i="28"/>
  <c r="AA77" i="28"/>
  <c r="AA61" i="28" s="1"/>
  <c r="X105" i="28"/>
  <c r="Z77" i="28"/>
  <c r="Z61" i="28" s="1"/>
  <c r="W105" i="28"/>
  <c r="S105" i="28"/>
  <c r="Y77" i="28"/>
  <c r="Y61" i="28" s="1"/>
  <c r="V105" i="28"/>
  <c r="X77" i="28"/>
  <c r="X61" i="28" s="1"/>
  <c r="AA105" i="28"/>
  <c r="U105" i="28"/>
  <c r="W77" i="28"/>
  <c r="W61" i="28" s="1"/>
  <c r="S77" i="28"/>
  <c r="S61" i="28" s="1"/>
  <c r="U77" i="28"/>
  <c r="U61" i="28" s="1"/>
  <c r="AB105" i="28"/>
  <c r="T105" i="28"/>
  <c r="V77" i="28"/>
  <c r="V61" i="28" s="1"/>
  <c r="Z105" i="28"/>
  <c r="AB77" i="28"/>
  <c r="AB61" i="28" s="1"/>
  <c r="T77" i="28"/>
  <c r="T61" i="28" s="1"/>
  <c r="X105" i="93"/>
  <c r="Z77" i="93"/>
  <c r="AB77" i="93"/>
  <c r="W105" i="93"/>
  <c r="S105" i="93"/>
  <c r="Y77" i="93"/>
  <c r="V105" i="93"/>
  <c r="X77" i="93"/>
  <c r="C6" i="93"/>
  <c r="U105" i="93"/>
  <c r="W77" i="93"/>
  <c r="S77" i="93"/>
  <c r="AB105" i="93"/>
  <c r="T105" i="93"/>
  <c r="V77" i="93"/>
  <c r="Z105" i="93"/>
  <c r="AA105" i="93"/>
  <c r="U77" i="93"/>
  <c r="T77" i="93"/>
  <c r="Y105" i="93"/>
  <c r="AA77" i="93"/>
  <c r="W105" i="91"/>
  <c r="S105" i="91"/>
  <c r="Y77" i="91"/>
  <c r="V105" i="91"/>
  <c r="X77" i="91"/>
  <c r="C6" i="91"/>
  <c r="U105" i="91"/>
  <c r="W77" i="91"/>
  <c r="S77" i="91"/>
  <c r="Y105" i="91"/>
  <c r="AB105" i="91"/>
  <c r="T105" i="91"/>
  <c r="V77" i="91"/>
  <c r="AA105" i="91"/>
  <c r="U77" i="91"/>
  <c r="Z105" i="91"/>
  <c r="AB77" i="91"/>
  <c r="T77" i="91"/>
  <c r="AA77" i="91"/>
  <c r="X105" i="91"/>
  <c r="Z77" i="91"/>
  <c r="F19" i="46"/>
  <c r="P19" i="46"/>
  <c r="O19" i="46"/>
  <c r="BT68" i="110"/>
  <c r="BT54" i="110"/>
  <c r="BT40" i="110"/>
  <c r="BT26" i="110"/>
  <c r="BT12" i="110"/>
  <c r="BF68" i="110"/>
  <c r="BF54" i="110"/>
  <c r="BF40" i="110"/>
  <c r="BF26" i="110"/>
  <c r="BF12" i="110"/>
  <c r="AR68" i="110"/>
  <c r="AR54" i="110"/>
  <c r="AR40" i="110"/>
  <c r="AR26" i="110"/>
  <c r="AR12" i="110"/>
  <c r="AD68" i="110"/>
  <c r="AD54" i="110"/>
  <c r="AD40" i="110"/>
  <c r="AD26" i="110"/>
  <c r="AD12" i="110"/>
  <c r="P68" i="110"/>
  <c r="P54" i="110"/>
  <c r="P40" i="110"/>
  <c r="P26" i="110"/>
  <c r="P12" i="110"/>
  <c r="B68" i="110"/>
  <c r="B54" i="110"/>
  <c r="B40" i="110"/>
  <c r="B26" i="110"/>
  <c r="B12" i="110"/>
  <c r="G19" i="46" l="1"/>
  <c r="Q19" i="46"/>
  <c r="C5" i="112"/>
  <c r="D10" i="46"/>
  <c r="D9" i="46"/>
  <c r="R19" i="46" l="1"/>
  <c r="H19" i="46"/>
  <c r="E10" i="46"/>
  <c r="E9" i="46"/>
  <c r="BV26" i="110"/>
  <c r="BV40" i="110" s="1"/>
  <c r="BV54" i="110" s="1"/>
  <c r="BV68" i="110" s="1"/>
  <c r="BW12" i="110"/>
  <c r="BW26" i="110" s="1"/>
  <c r="BW40" i="110" s="1"/>
  <c r="BW54" i="110" s="1"/>
  <c r="BW68" i="110" s="1"/>
  <c r="BH26" i="110"/>
  <c r="BH40" i="110" s="1"/>
  <c r="BH54" i="110" s="1"/>
  <c r="BH68" i="110" s="1"/>
  <c r="BI12" i="110"/>
  <c r="BI26" i="110" s="1"/>
  <c r="BI40" i="110" s="1"/>
  <c r="BI54" i="110" s="1"/>
  <c r="BI68" i="110" s="1"/>
  <c r="AT26" i="110"/>
  <c r="AT40" i="110" s="1"/>
  <c r="AT54" i="110" s="1"/>
  <c r="AT68" i="110" s="1"/>
  <c r="AU12" i="110"/>
  <c r="AV12" i="110" s="1"/>
  <c r="AF26" i="110"/>
  <c r="AF40" i="110" s="1"/>
  <c r="AF54" i="110" s="1"/>
  <c r="AF68" i="110" s="1"/>
  <c r="AH12" i="110"/>
  <c r="AH26" i="110" s="1"/>
  <c r="AH40" i="110" s="1"/>
  <c r="AH54" i="110" s="1"/>
  <c r="AH68" i="110" s="1"/>
  <c r="AG12" i="110"/>
  <c r="AG26" i="110" s="1"/>
  <c r="AG40" i="110" s="1"/>
  <c r="AG54" i="110" s="1"/>
  <c r="AG68" i="110" s="1"/>
  <c r="R26" i="110"/>
  <c r="R40" i="110" s="1"/>
  <c r="R54" i="110" s="1"/>
  <c r="R68" i="110" s="1"/>
  <c r="S12" i="110"/>
  <c r="T12" i="110" s="1"/>
  <c r="D26" i="110"/>
  <c r="D40" i="110" s="1"/>
  <c r="D54" i="110" s="1"/>
  <c r="D68" i="110" s="1"/>
  <c r="E12" i="110"/>
  <c r="F12" i="110" s="1"/>
  <c r="C7" i="102"/>
  <c r="S19" i="46" l="1"/>
  <c r="I19" i="46"/>
  <c r="BX12" i="110"/>
  <c r="BY12" i="110" s="1"/>
  <c r="F10" i="46"/>
  <c r="F9" i="46"/>
  <c r="BZ12" i="110"/>
  <c r="BY26" i="110"/>
  <c r="BY40" i="110" s="1"/>
  <c r="BY54" i="110" s="1"/>
  <c r="BY68" i="110" s="1"/>
  <c r="BX26" i="110"/>
  <c r="BX40" i="110" s="1"/>
  <c r="BX54" i="110" s="1"/>
  <c r="BX68" i="110" s="1"/>
  <c r="BJ12" i="110"/>
  <c r="AW12" i="110"/>
  <c r="AV26" i="110"/>
  <c r="AV40" i="110" s="1"/>
  <c r="AV54" i="110" s="1"/>
  <c r="AV68" i="110" s="1"/>
  <c r="AU26" i="110"/>
  <c r="AU40" i="110" s="1"/>
  <c r="AU54" i="110" s="1"/>
  <c r="AU68" i="110" s="1"/>
  <c r="AI12" i="110"/>
  <c r="U12" i="110"/>
  <c r="T26" i="110"/>
  <c r="T40" i="110" s="1"/>
  <c r="T54" i="110" s="1"/>
  <c r="T68" i="110" s="1"/>
  <c r="S26" i="110"/>
  <c r="S40" i="110" s="1"/>
  <c r="S54" i="110" s="1"/>
  <c r="S68" i="110" s="1"/>
  <c r="G12" i="110"/>
  <c r="F26" i="110"/>
  <c r="F40" i="110" s="1"/>
  <c r="F54" i="110" s="1"/>
  <c r="F68" i="110" s="1"/>
  <c r="E26" i="110"/>
  <c r="E40" i="110" s="1"/>
  <c r="E54" i="110" s="1"/>
  <c r="E68" i="110" s="1"/>
  <c r="L68" i="87"/>
  <c r="L64" i="87" s="1"/>
  <c r="AB87" i="87" s="1"/>
  <c r="K68" i="87"/>
  <c r="K64" i="87" s="1"/>
  <c r="AA87" i="87" s="1"/>
  <c r="J68" i="87"/>
  <c r="J64" i="87" s="1"/>
  <c r="Z87" i="87" s="1"/>
  <c r="I68" i="87"/>
  <c r="I64" i="87" s="1"/>
  <c r="Y87" i="87" s="1"/>
  <c r="H68" i="87"/>
  <c r="H64" i="87" s="1"/>
  <c r="X87" i="87" s="1"/>
  <c r="G68" i="87"/>
  <c r="G64" i="87" s="1"/>
  <c r="W87" i="87" s="1"/>
  <c r="F68" i="87"/>
  <c r="F64" i="87" s="1"/>
  <c r="V87" i="87" s="1"/>
  <c r="E68" i="87"/>
  <c r="E64" i="87" s="1"/>
  <c r="U87" i="87" s="1"/>
  <c r="L68" i="89"/>
  <c r="L64" i="89" s="1"/>
  <c r="AB87" i="89" s="1"/>
  <c r="K68" i="89"/>
  <c r="K64" i="89" s="1"/>
  <c r="AA87" i="89" s="1"/>
  <c r="J68" i="89"/>
  <c r="J64" i="89" s="1"/>
  <c r="Z87" i="89" s="1"/>
  <c r="I68" i="89"/>
  <c r="I64" i="89" s="1"/>
  <c r="Y87" i="89" s="1"/>
  <c r="H68" i="89"/>
  <c r="H64" i="89" s="1"/>
  <c r="X87" i="89" s="1"/>
  <c r="G68" i="89"/>
  <c r="G64" i="89" s="1"/>
  <c r="W87" i="89" s="1"/>
  <c r="F68" i="89"/>
  <c r="F64" i="89" s="1"/>
  <c r="V87" i="89" s="1"/>
  <c r="E68" i="89"/>
  <c r="E64" i="89" s="1"/>
  <c r="U87" i="89" s="1"/>
  <c r="L68" i="91"/>
  <c r="L64" i="91" s="1"/>
  <c r="AB87" i="91" s="1"/>
  <c r="K68" i="91"/>
  <c r="K64" i="91" s="1"/>
  <c r="AA87" i="91" s="1"/>
  <c r="J68" i="91"/>
  <c r="J64" i="91" s="1"/>
  <c r="Z87" i="91" s="1"/>
  <c r="I68" i="91"/>
  <c r="I64" i="91" s="1"/>
  <c r="Y87" i="91" s="1"/>
  <c r="H68" i="91"/>
  <c r="H64" i="91" s="1"/>
  <c r="X87" i="91" s="1"/>
  <c r="G68" i="91"/>
  <c r="G64" i="91" s="1"/>
  <c r="W87" i="91" s="1"/>
  <c r="F68" i="91"/>
  <c r="F64" i="91" s="1"/>
  <c r="V87" i="91" s="1"/>
  <c r="E68" i="91"/>
  <c r="E64" i="91" s="1"/>
  <c r="U87" i="91" s="1"/>
  <c r="L68" i="93"/>
  <c r="L64" i="93" s="1"/>
  <c r="AB87" i="93" s="1"/>
  <c r="K68" i="93"/>
  <c r="K64" i="93" s="1"/>
  <c r="AA87" i="93" s="1"/>
  <c r="J68" i="93"/>
  <c r="J64" i="93" s="1"/>
  <c r="Z87" i="93" s="1"/>
  <c r="I68" i="93"/>
  <c r="I64" i="93" s="1"/>
  <c r="Y87" i="93" s="1"/>
  <c r="H68" i="93"/>
  <c r="H64" i="93" s="1"/>
  <c r="X87" i="93" s="1"/>
  <c r="G68" i="93"/>
  <c r="G64" i="93" s="1"/>
  <c r="W87" i="93" s="1"/>
  <c r="F68" i="93"/>
  <c r="F64" i="93" s="1"/>
  <c r="V87" i="93" s="1"/>
  <c r="E68" i="93"/>
  <c r="E64" i="93" s="1"/>
  <c r="U87" i="93" s="1"/>
  <c r="C68" i="87"/>
  <c r="C64" i="87" s="1"/>
  <c r="S87" i="87" s="1"/>
  <c r="C68" i="89"/>
  <c r="C64" i="89" s="1"/>
  <c r="S87" i="89" s="1"/>
  <c r="C68" i="91"/>
  <c r="C64" i="91" s="1"/>
  <c r="S87" i="91" s="1"/>
  <c r="C68" i="93"/>
  <c r="C64" i="93" s="1"/>
  <c r="S87" i="93" s="1"/>
  <c r="V113" i="87"/>
  <c r="AI70" i="110" s="1"/>
  <c r="V113" i="89"/>
  <c r="AW70" i="110" s="1"/>
  <c r="V113" i="91"/>
  <c r="BK70" i="110" s="1"/>
  <c r="C44" i="87"/>
  <c r="C44" i="89"/>
  <c r="C44" i="91"/>
  <c r="C44" i="93"/>
  <c r="E19" i="106"/>
  <c r="E33" i="106" s="1"/>
  <c r="E47" i="106" s="1"/>
  <c r="E61" i="106" s="1"/>
  <c r="D19" i="106"/>
  <c r="D33" i="106" s="1"/>
  <c r="D47" i="106" s="1"/>
  <c r="D61" i="106" s="1"/>
  <c r="E5" i="106"/>
  <c r="F5" i="106" s="1"/>
  <c r="AB120" i="87"/>
  <c r="AO77" i="110" s="1"/>
  <c r="AA120" i="87"/>
  <c r="AN77" i="110" s="1"/>
  <c r="AB112" i="87"/>
  <c r="AO69" i="110" s="1"/>
  <c r="AA112" i="87"/>
  <c r="AN69" i="110" s="1"/>
  <c r="AB120" i="89"/>
  <c r="BC77" i="110" s="1"/>
  <c r="AA120" i="89"/>
  <c r="BB77" i="110" s="1"/>
  <c r="AB112" i="89"/>
  <c r="BC69" i="110" s="1"/>
  <c r="AA112" i="89"/>
  <c r="BB69" i="110" s="1"/>
  <c r="AB120" i="91"/>
  <c r="BQ77" i="110" s="1"/>
  <c r="AA120" i="91"/>
  <c r="BP77" i="110" s="1"/>
  <c r="AB112" i="91"/>
  <c r="BQ69" i="110" s="1"/>
  <c r="AA112" i="91"/>
  <c r="BP69" i="110" s="1"/>
  <c r="CE76" i="110"/>
  <c r="CD76" i="110"/>
  <c r="AB118" i="93"/>
  <c r="CE75" i="110" s="1"/>
  <c r="AA118" i="93"/>
  <c r="CD75" i="110" s="1"/>
  <c r="AB112" i="93"/>
  <c r="CE69" i="110" s="1"/>
  <c r="AA112" i="93"/>
  <c r="CD69" i="110" s="1"/>
  <c r="AA76" i="110"/>
  <c r="Z76" i="110"/>
  <c r="AB118" i="28"/>
  <c r="AA75" i="110" s="1"/>
  <c r="AA118" i="28"/>
  <c r="Z75" i="110" s="1"/>
  <c r="AB106" i="87"/>
  <c r="AO63" i="110" s="1"/>
  <c r="AA106" i="87"/>
  <c r="AN63" i="110" s="1"/>
  <c r="AB98" i="87"/>
  <c r="AO55" i="110" s="1"/>
  <c r="AA98" i="87"/>
  <c r="AN55" i="110" s="1"/>
  <c r="AB106" i="89"/>
  <c r="BC63" i="110" s="1"/>
  <c r="AA106" i="89"/>
  <c r="BB63" i="110" s="1"/>
  <c r="AB98" i="89"/>
  <c r="BC55" i="110" s="1"/>
  <c r="AA98" i="89"/>
  <c r="BB55" i="110" s="1"/>
  <c r="AB106" i="91"/>
  <c r="BQ63" i="110" s="1"/>
  <c r="AA106" i="91"/>
  <c r="BP63" i="110" s="1"/>
  <c r="AB98" i="91"/>
  <c r="BQ55" i="110" s="1"/>
  <c r="AA98" i="91"/>
  <c r="BP55" i="110" s="1"/>
  <c r="CE62" i="110"/>
  <c r="CD62" i="110"/>
  <c r="AB104" i="93"/>
  <c r="CE61" i="110" s="1"/>
  <c r="AA104" i="93"/>
  <c r="CD61" i="110" s="1"/>
  <c r="AB98" i="93"/>
  <c r="CE55" i="110" s="1"/>
  <c r="AA98" i="93"/>
  <c r="CD55" i="110" s="1"/>
  <c r="AA62" i="110"/>
  <c r="Z62" i="110"/>
  <c r="AB104" i="28"/>
  <c r="AA61" i="110" s="1"/>
  <c r="AA104" i="28"/>
  <c r="Z61" i="110" s="1"/>
  <c r="AB92" i="87"/>
  <c r="AO49" i="110" s="1"/>
  <c r="AA92" i="87"/>
  <c r="AN49" i="110" s="1"/>
  <c r="AB84" i="87"/>
  <c r="AO41" i="110" s="1"/>
  <c r="AA84" i="87"/>
  <c r="AN41" i="110" s="1"/>
  <c r="AB92" i="89"/>
  <c r="BC49" i="110" s="1"/>
  <c r="AA92" i="89"/>
  <c r="BB49" i="110" s="1"/>
  <c r="AB84" i="89"/>
  <c r="BC41" i="110" s="1"/>
  <c r="AA84" i="89"/>
  <c r="BB41" i="110" s="1"/>
  <c r="AB92" i="91"/>
  <c r="BQ49" i="110" s="1"/>
  <c r="AA92" i="91"/>
  <c r="BP49" i="110" s="1"/>
  <c r="AB84" i="91"/>
  <c r="BQ41" i="110" s="1"/>
  <c r="AA84" i="91"/>
  <c r="BP41" i="110" s="1"/>
  <c r="CE48" i="110"/>
  <c r="CD48" i="110"/>
  <c r="AB90" i="93"/>
  <c r="CE47" i="110" s="1"/>
  <c r="AA90" i="93"/>
  <c r="CD47" i="110" s="1"/>
  <c r="AB84" i="93"/>
  <c r="CE41" i="110" s="1"/>
  <c r="AA84" i="93"/>
  <c r="CD41" i="110" s="1"/>
  <c r="AA48" i="110"/>
  <c r="Z48" i="110"/>
  <c r="AB90" i="28"/>
  <c r="AA47" i="110" s="1"/>
  <c r="AA90" i="28"/>
  <c r="Z47" i="110" s="1"/>
  <c r="AB78" i="87"/>
  <c r="AO35" i="110" s="1"/>
  <c r="AA78" i="87"/>
  <c r="AN35" i="110" s="1"/>
  <c r="AB78" i="89"/>
  <c r="BC35" i="110" s="1"/>
  <c r="AA78" i="89"/>
  <c r="BB35" i="110" s="1"/>
  <c r="AB78" i="91"/>
  <c r="BQ35" i="110" s="1"/>
  <c r="AA78" i="91"/>
  <c r="BP35" i="110" s="1"/>
  <c r="CE34" i="110"/>
  <c r="CD34" i="110"/>
  <c r="AB76" i="93"/>
  <c r="CE33" i="110" s="1"/>
  <c r="AA76" i="93"/>
  <c r="CD33" i="110" s="1"/>
  <c r="AA34" i="110"/>
  <c r="Z34" i="110"/>
  <c r="AB76" i="28"/>
  <c r="AA33" i="110" s="1"/>
  <c r="AA76" i="28"/>
  <c r="Z33" i="110" s="1"/>
  <c r="AB62" i="87"/>
  <c r="AO21" i="110" s="1"/>
  <c r="AA62" i="87"/>
  <c r="AN21" i="110" s="1"/>
  <c r="AB62" i="89"/>
  <c r="BC21" i="110" s="1"/>
  <c r="AA62" i="89"/>
  <c r="BB21" i="110" s="1"/>
  <c r="AB62" i="91"/>
  <c r="BQ21" i="110" s="1"/>
  <c r="AA62" i="91"/>
  <c r="BP21" i="110" s="1"/>
  <c r="AB61" i="93"/>
  <c r="CE20" i="110" s="1"/>
  <c r="AA61" i="93"/>
  <c r="CD20" i="110" s="1"/>
  <c r="AB60" i="93"/>
  <c r="CE19" i="110" s="1"/>
  <c r="AA60" i="93"/>
  <c r="CD19" i="110" s="1"/>
  <c r="AA20" i="110"/>
  <c r="Z20" i="110"/>
  <c r="AB60" i="28"/>
  <c r="AA19" i="110" s="1"/>
  <c r="AA60" i="28"/>
  <c r="Z19" i="110" s="1"/>
  <c r="M62" i="87"/>
  <c r="M61" i="87"/>
  <c r="M60" i="87"/>
  <c r="M59" i="87"/>
  <c r="M58" i="87"/>
  <c r="M57" i="87"/>
  <c r="M56" i="87"/>
  <c r="M55" i="87"/>
  <c r="M54" i="87"/>
  <c r="M53" i="87"/>
  <c r="M62" i="89"/>
  <c r="M61" i="89"/>
  <c r="M60" i="89"/>
  <c r="M59" i="89"/>
  <c r="M58" i="89"/>
  <c r="M57" i="89"/>
  <c r="M56" i="89"/>
  <c r="M55" i="89"/>
  <c r="M54" i="89"/>
  <c r="M53" i="89"/>
  <c r="M62" i="91"/>
  <c r="M61" i="91"/>
  <c r="M60" i="91"/>
  <c r="M59" i="91"/>
  <c r="M58" i="91"/>
  <c r="M57" i="91"/>
  <c r="M56" i="91"/>
  <c r="M55" i="91"/>
  <c r="M54" i="91"/>
  <c r="M53" i="91"/>
  <c r="M62" i="93"/>
  <c r="M61" i="93"/>
  <c r="M60" i="93"/>
  <c r="M59" i="93"/>
  <c r="M58" i="93"/>
  <c r="M57" i="93"/>
  <c r="M56" i="93"/>
  <c r="M55" i="93"/>
  <c r="M54" i="93"/>
  <c r="M53" i="93"/>
  <c r="M62" i="28"/>
  <c r="M61" i="28"/>
  <c r="M60" i="28"/>
  <c r="M59" i="28"/>
  <c r="M58" i="28"/>
  <c r="M57" i="28"/>
  <c r="M56" i="28"/>
  <c r="M55" i="28"/>
  <c r="M54" i="28"/>
  <c r="M53" i="28"/>
  <c r="G28" i="104" s="1"/>
  <c r="M52" i="87"/>
  <c r="M52" i="89"/>
  <c r="M52" i="91"/>
  <c r="M52" i="93"/>
  <c r="M52" i="28"/>
  <c r="M42" i="87"/>
  <c r="M41" i="87"/>
  <c r="M40" i="87"/>
  <c r="M39" i="87"/>
  <c r="M38" i="87"/>
  <c r="M37" i="87"/>
  <c r="M36" i="87"/>
  <c r="M35" i="87"/>
  <c r="M34" i="87"/>
  <c r="M42" i="89"/>
  <c r="M41" i="89"/>
  <c r="M40" i="89"/>
  <c r="M39" i="89"/>
  <c r="M38" i="89"/>
  <c r="M37" i="89"/>
  <c r="M36" i="89"/>
  <c r="M35" i="89"/>
  <c r="M34" i="89"/>
  <c r="M42" i="91"/>
  <c r="M41" i="91"/>
  <c r="M40" i="91"/>
  <c r="M39" i="91"/>
  <c r="M38" i="91"/>
  <c r="M37" i="91"/>
  <c r="M36" i="91"/>
  <c r="M35" i="91"/>
  <c r="M34" i="91"/>
  <c r="M42" i="93"/>
  <c r="M41" i="93"/>
  <c r="M40" i="93"/>
  <c r="M39" i="93"/>
  <c r="M38" i="93"/>
  <c r="M37" i="93"/>
  <c r="M36" i="93"/>
  <c r="M35" i="93"/>
  <c r="M34" i="93"/>
  <c r="M42" i="28"/>
  <c r="M41" i="28"/>
  <c r="M40" i="28"/>
  <c r="M39" i="28"/>
  <c r="M38" i="28"/>
  <c r="M37" i="28"/>
  <c r="M36" i="28"/>
  <c r="M35" i="28"/>
  <c r="M34" i="28"/>
  <c r="M33" i="87"/>
  <c r="M33" i="89"/>
  <c r="M33" i="91"/>
  <c r="M33" i="93"/>
  <c r="M33" i="28"/>
  <c r="L30" i="87"/>
  <c r="K30" i="87"/>
  <c r="L30" i="89"/>
  <c r="K30" i="89"/>
  <c r="L30" i="91"/>
  <c r="K30" i="91"/>
  <c r="L30" i="93"/>
  <c r="K30" i="93"/>
  <c r="L30" i="28"/>
  <c r="K30" i="28"/>
  <c r="J30" i="87"/>
  <c r="J30" i="89"/>
  <c r="J30" i="91"/>
  <c r="J30" i="93"/>
  <c r="J30" i="28"/>
  <c r="M29" i="87"/>
  <c r="M28" i="87"/>
  <c r="M27" i="87"/>
  <c r="M26" i="87"/>
  <c r="M25" i="87"/>
  <c r="M24" i="87"/>
  <c r="M23" i="87"/>
  <c r="M22" i="87"/>
  <c r="M21" i="87"/>
  <c r="M29" i="89"/>
  <c r="M28" i="89"/>
  <c r="M27" i="89"/>
  <c r="M26" i="89"/>
  <c r="M25" i="89"/>
  <c r="M24" i="89"/>
  <c r="M23" i="89"/>
  <c r="M22" i="89"/>
  <c r="M21" i="89"/>
  <c r="M29" i="91"/>
  <c r="M28" i="91"/>
  <c r="M27" i="91"/>
  <c r="M26" i="91"/>
  <c r="M25" i="91"/>
  <c r="M24" i="91"/>
  <c r="M23" i="91"/>
  <c r="M22" i="91"/>
  <c r="M21" i="91"/>
  <c r="M29" i="93"/>
  <c r="M28" i="93"/>
  <c r="M27" i="93"/>
  <c r="M26" i="93"/>
  <c r="M25" i="93"/>
  <c r="M24" i="93"/>
  <c r="M23" i="93"/>
  <c r="M22" i="93"/>
  <c r="M21" i="93"/>
  <c r="M29" i="28"/>
  <c r="M28" i="28"/>
  <c r="M27" i="28"/>
  <c r="M26" i="28"/>
  <c r="M25" i="28"/>
  <c r="M24" i="28"/>
  <c r="M23" i="28"/>
  <c r="M22" i="28"/>
  <c r="M21" i="28"/>
  <c r="M20" i="87"/>
  <c r="M20" i="89"/>
  <c r="M20" i="91"/>
  <c r="M20" i="93"/>
  <c r="M20" i="28"/>
  <c r="Z120" i="87"/>
  <c r="AM77" i="110" s="1"/>
  <c r="Y120" i="87"/>
  <c r="AL77" i="110" s="1"/>
  <c r="X120" i="87"/>
  <c r="AK77" i="110" s="1"/>
  <c r="W120" i="87"/>
  <c r="AJ77" i="110" s="1"/>
  <c r="V120" i="87"/>
  <c r="AI77" i="110" s="1"/>
  <c r="U120" i="87"/>
  <c r="AH77" i="110" s="1"/>
  <c r="T120" i="87"/>
  <c r="AG77" i="110" s="1"/>
  <c r="Z120" i="89"/>
  <c r="BA77" i="110" s="1"/>
  <c r="Y120" i="89"/>
  <c r="AZ77" i="110" s="1"/>
  <c r="X120" i="89"/>
  <c r="AY77" i="110" s="1"/>
  <c r="W120" i="89"/>
  <c r="AX77" i="110" s="1"/>
  <c r="V120" i="89"/>
  <c r="AW77" i="110" s="1"/>
  <c r="U120" i="89"/>
  <c r="AV77" i="110" s="1"/>
  <c r="T120" i="89"/>
  <c r="AU77" i="110" s="1"/>
  <c r="Z120" i="91"/>
  <c r="BO77" i="110" s="1"/>
  <c r="Y120" i="91"/>
  <c r="BN77" i="110" s="1"/>
  <c r="X120" i="91"/>
  <c r="BM77" i="110" s="1"/>
  <c r="W120" i="91"/>
  <c r="BL77" i="110" s="1"/>
  <c r="V120" i="91"/>
  <c r="BK77" i="110" s="1"/>
  <c r="U120" i="91"/>
  <c r="BJ77" i="110" s="1"/>
  <c r="T120" i="91"/>
  <c r="BI77" i="110" s="1"/>
  <c r="S120" i="87"/>
  <c r="AF77" i="110" s="1"/>
  <c r="S120" i="89"/>
  <c r="AT77" i="110" s="1"/>
  <c r="S120" i="91"/>
  <c r="BH77" i="110" s="1"/>
  <c r="S106" i="87"/>
  <c r="AF63" i="110" s="1"/>
  <c r="S106" i="89"/>
  <c r="AT63" i="110" s="1"/>
  <c r="S106" i="91"/>
  <c r="BH63" i="110" s="1"/>
  <c r="BW76" i="110"/>
  <c r="S76" i="110"/>
  <c r="CC76" i="110"/>
  <c r="CB76" i="110"/>
  <c r="CA76" i="110"/>
  <c r="BZ76" i="110"/>
  <c r="BY76" i="110"/>
  <c r="BX76" i="110"/>
  <c r="Y76" i="110"/>
  <c r="X76" i="110"/>
  <c r="W76" i="110"/>
  <c r="V76" i="110"/>
  <c r="U76" i="110"/>
  <c r="T76" i="110"/>
  <c r="BV76" i="110"/>
  <c r="R76" i="110"/>
  <c r="BV62" i="110"/>
  <c r="R62" i="110"/>
  <c r="Z118" i="93"/>
  <c r="CC75" i="110" s="1"/>
  <c r="Y118" i="93"/>
  <c r="CB75" i="110" s="1"/>
  <c r="X118" i="93"/>
  <c r="CA75" i="110" s="1"/>
  <c r="W118" i="93"/>
  <c r="BZ75" i="110" s="1"/>
  <c r="V118" i="93"/>
  <c r="BY75" i="110" s="1"/>
  <c r="U118" i="93"/>
  <c r="BX75" i="110" s="1"/>
  <c r="T118" i="93"/>
  <c r="BW75" i="110" s="1"/>
  <c r="Z118" i="28"/>
  <c r="Y75" i="110" s="1"/>
  <c r="Y118" i="28"/>
  <c r="X75" i="110" s="1"/>
  <c r="X118" i="28"/>
  <c r="W75" i="110" s="1"/>
  <c r="W118" i="28"/>
  <c r="V75" i="110" s="1"/>
  <c r="V118" i="28"/>
  <c r="U75" i="110" s="1"/>
  <c r="U118" i="28"/>
  <c r="T75" i="110" s="1"/>
  <c r="T118" i="28"/>
  <c r="S75" i="110" s="1"/>
  <c r="S118" i="93"/>
  <c r="BV75" i="110" s="1"/>
  <c r="S118" i="28"/>
  <c r="R75" i="110" s="1"/>
  <c r="S104" i="93"/>
  <c r="BV61" i="110" s="1"/>
  <c r="S104" i="28"/>
  <c r="R61" i="110" s="1"/>
  <c r="V112" i="87"/>
  <c r="AI69" i="110" s="1"/>
  <c r="V112" i="89"/>
  <c r="AW69" i="110" s="1"/>
  <c r="V112" i="91"/>
  <c r="BK69" i="110" s="1"/>
  <c r="V112" i="93"/>
  <c r="BY69" i="110" s="1"/>
  <c r="Z112" i="87"/>
  <c r="AM69" i="110" s="1"/>
  <c r="Y112" i="87"/>
  <c r="AL69" i="110" s="1"/>
  <c r="X112" i="87"/>
  <c r="AK69" i="110" s="1"/>
  <c r="W112" i="87"/>
  <c r="AJ69" i="110" s="1"/>
  <c r="U112" i="87"/>
  <c r="AH69" i="110" s="1"/>
  <c r="T112" i="87"/>
  <c r="AG69" i="110" s="1"/>
  <c r="Z112" i="89"/>
  <c r="BA69" i="110" s="1"/>
  <c r="Y112" i="89"/>
  <c r="AZ69" i="110" s="1"/>
  <c r="X112" i="89"/>
  <c r="AY69" i="110" s="1"/>
  <c r="W112" i="89"/>
  <c r="AX69" i="110" s="1"/>
  <c r="U112" i="89"/>
  <c r="AV69" i="110" s="1"/>
  <c r="T112" i="89"/>
  <c r="AU69" i="110" s="1"/>
  <c r="Z112" i="91"/>
  <c r="BO69" i="110" s="1"/>
  <c r="Y112" i="91"/>
  <c r="BN69" i="110" s="1"/>
  <c r="X112" i="91"/>
  <c r="BM69" i="110" s="1"/>
  <c r="W112" i="91"/>
  <c r="BL69" i="110" s="1"/>
  <c r="U112" i="91"/>
  <c r="BJ69" i="110" s="1"/>
  <c r="T112" i="91"/>
  <c r="BI69" i="110" s="1"/>
  <c r="V113" i="93"/>
  <c r="BY70" i="110" s="1"/>
  <c r="Z112" i="93"/>
  <c r="CC69" i="110" s="1"/>
  <c r="Y112" i="93"/>
  <c r="CB69" i="110" s="1"/>
  <c r="X112" i="93"/>
  <c r="CA69" i="110" s="1"/>
  <c r="W112" i="93"/>
  <c r="BZ69" i="110" s="1"/>
  <c r="U112" i="93"/>
  <c r="BX69" i="110" s="1"/>
  <c r="T112" i="93"/>
  <c r="BW69" i="110" s="1"/>
  <c r="S112" i="87"/>
  <c r="AF69" i="110" s="1"/>
  <c r="S112" i="89"/>
  <c r="AT69" i="110" s="1"/>
  <c r="S112" i="91"/>
  <c r="BH69" i="110" s="1"/>
  <c r="S112" i="93"/>
  <c r="BV69" i="110" s="1"/>
  <c r="S98" i="87"/>
  <c r="AF55" i="110" s="1"/>
  <c r="S98" i="89"/>
  <c r="AT55" i="110" s="1"/>
  <c r="S98" i="91"/>
  <c r="BH55" i="110" s="1"/>
  <c r="S98" i="93"/>
  <c r="BV55" i="110" s="1"/>
  <c r="T106" i="87"/>
  <c r="AG63" i="110" s="1"/>
  <c r="T106" i="89"/>
  <c r="AU63" i="110" s="1"/>
  <c r="T106" i="91"/>
  <c r="BI63" i="110" s="1"/>
  <c r="Z106" i="87"/>
  <c r="AM63" i="110" s="1"/>
  <c r="Y106" i="87"/>
  <c r="AL63" i="110" s="1"/>
  <c r="X106" i="87"/>
  <c r="AK63" i="110" s="1"/>
  <c r="W106" i="87"/>
  <c r="AJ63" i="110" s="1"/>
  <c r="V106" i="87"/>
  <c r="AI63" i="110" s="1"/>
  <c r="U106" i="87"/>
  <c r="AH63" i="110" s="1"/>
  <c r="Z106" i="89"/>
  <c r="BA63" i="110" s="1"/>
  <c r="Y106" i="89"/>
  <c r="AZ63" i="110" s="1"/>
  <c r="X106" i="89"/>
  <c r="AY63" i="110" s="1"/>
  <c r="W106" i="89"/>
  <c r="AX63" i="110" s="1"/>
  <c r="V106" i="89"/>
  <c r="AW63" i="110" s="1"/>
  <c r="U106" i="89"/>
  <c r="AV63" i="110" s="1"/>
  <c r="Z106" i="91"/>
  <c r="BO63" i="110" s="1"/>
  <c r="Y106" i="91"/>
  <c r="BN63" i="110" s="1"/>
  <c r="X106" i="91"/>
  <c r="BM63" i="110" s="1"/>
  <c r="W106" i="91"/>
  <c r="BL63" i="110" s="1"/>
  <c r="V106" i="91"/>
  <c r="BK63" i="110" s="1"/>
  <c r="U106" i="91"/>
  <c r="BJ63" i="110" s="1"/>
  <c r="S92" i="87"/>
  <c r="AF49" i="110" s="1"/>
  <c r="S92" i="89"/>
  <c r="AT49" i="110" s="1"/>
  <c r="S92" i="91"/>
  <c r="BH49" i="110" s="1"/>
  <c r="CC62" i="110"/>
  <c r="CB62" i="110"/>
  <c r="CA62" i="110"/>
  <c r="BZ62" i="110"/>
  <c r="BY62" i="110"/>
  <c r="BX62" i="110"/>
  <c r="BW62" i="110"/>
  <c r="Y62" i="110"/>
  <c r="X62" i="110"/>
  <c r="W62" i="110"/>
  <c r="V62" i="110"/>
  <c r="U62" i="110"/>
  <c r="T62" i="110"/>
  <c r="S62" i="110"/>
  <c r="BV48" i="110"/>
  <c r="R48" i="110"/>
  <c r="T104" i="93"/>
  <c r="BW61" i="110" s="1"/>
  <c r="U104" i="93"/>
  <c r="BX61" i="110" s="1"/>
  <c r="V104" i="93"/>
  <c r="BY61" i="110" s="1"/>
  <c r="W104" i="93"/>
  <c r="BZ61" i="110" s="1"/>
  <c r="X104" i="93"/>
  <c r="CA61" i="110" s="1"/>
  <c r="Y104" i="93"/>
  <c r="CB61" i="110" s="1"/>
  <c r="Z104" i="93"/>
  <c r="CC61" i="110" s="1"/>
  <c r="T104" i="28"/>
  <c r="S61" i="110" s="1"/>
  <c r="U104" i="28"/>
  <c r="T61" i="110" s="1"/>
  <c r="V104" i="28"/>
  <c r="U61" i="110" s="1"/>
  <c r="W104" i="28"/>
  <c r="V61" i="110" s="1"/>
  <c r="X104" i="28"/>
  <c r="W61" i="110" s="1"/>
  <c r="Y104" i="28"/>
  <c r="X61" i="110" s="1"/>
  <c r="Z104" i="28"/>
  <c r="Y61" i="110" s="1"/>
  <c r="S90" i="93"/>
  <c r="BV47" i="110" s="1"/>
  <c r="S90" i="28"/>
  <c r="R47" i="110" s="1"/>
  <c r="U98" i="87"/>
  <c r="AH55" i="110" s="1"/>
  <c r="U98" i="89"/>
  <c r="AV55" i="110" s="1"/>
  <c r="U98" i="91"/>
  <c r="BJ55" i="110" s="1"/>
  <c r="U98" i="93"/>
  <c r="BX55" i="110" s="1"/>
  <c r="Z98" i="87"/>
  <c r="AM55" i="110" s="1"/>
  <c r="Y98" i="87"/>
  <c r="AL55" i="110" s="1"/>
  <c r="X98" i="87"/>
  <c r="AK55" i="110" s="1"/>
  <c r="W98" i="87"/>
  <c r="AJ55" i="110" s="1"/>
  <c r="V98" i="87"/>
  <c r="AI55" i="110" s="1"/>
  <c r="T98" i="87"/>
  <c r="AG55" i="110" s="1"/>
  <c r="Z98" i="89"/>
  <c r="BA55" i="110" s="1"/>
  <c r="Y98" i="89"/>
  <c r="AZ55" i="110" s="1"/>
  <c r="X98" i="89"/>
  <c r="AY55" i="110" s="1"/>
  <c r="W98" i="89"/>
  <c r="AX55" i="110" s="1"/>
  <c r="V98" i="89"/>
  <c r="AW55" i="110" s="1"/>
  <c r="T98" i="89"/>
  <c r="AU55" i="110" s="1"/>
  <c r="Z98" i="91"/>
  <c r="BO55" i="110" s="1"/>
  <c r="Y98" i="91"/>
  <c r="BN55" i="110" s="1"/>
  <c r="X98" i="91"/>
  <c r="BM55" i="110" s="1"/>
  <c r="W98" i="91"/>
  <c r="BL55" i="110" s="1"/>
  <c r="V98" i="91"/>
  <c r="BK55" i="110" s="1"/>
  <c r="T98" i="91"/>
  <c r="BI55" i="110" s="1"/>
  <c r="Z98" i="93"/>
  <c r="CC55" i="110" s="1"/>
  <c r="Y98" i="93"/>
  <c r="CB55" i="110" s="1"/>
  <c r="X98" i="93"/>
  <c r="CA55" i="110" s="1"/>
  <c r="W98" i="93"/>
  <c r="BZ55" i="110" s="1"/>
  <c r="V98" i="93"/>
  <c r="BY55" i="110" s="1"/>
  <c r="T98" i="93"/>
  <c r="BW55" i="110" s="1"/>
  <c r="D6" i="46"/>
  <c r="D27" i="102" l="1"/>
  <c r="D27" i="104"/>
  <c r="T19" i="46"/>
  <c r="J19" i="46"/>
  <c r="G10" i="46"/>
  <c r="G9" i="46"/>
  <c r="CF61" i="110"/>
  <c r="CF76" i="110"/>
  <c r="CF69" i="110"/>
  <c r="BR69" i="110"/>
  <c r="BD69" i="110"/>
  <c r="CF75" i="110"/>
  <c r="CF62" i="110"/>
  <c r="AP69" i="110"/>
  <c r="AC104" i="93"/>
  <c r="R104" i="93" s="1"/>
  <c r="AC98" i="87"/>
  <c r="R98" i="87" s="1"/>
  <c r="AP55" i="110"/>
  <c r="AC98" i="89"/>
  <c r="R98" i="89" s="1"/>
  <c r="BD55" i="110"/>
  <c r="AC105" i="93"/>
  <c r="R105" i="93" s="1"/>
  <c r="AC98" i="93"/>
  <c r="R98" i="93" s="1"/>
  <c r="CF55" i="110"/>
  <c r="AC98" i="91"/>
  <c r="R98" i="91" s="1"/>
  <c r="BR55" i="110"/>
  <c r="M30" i="91"/>
  <c r="M30" i="93"/>
  <c r="G5" i="106"/>
  <c r="F19" i="106"/>
  <c r="F33" i="106" s="1"/>
  <c r="F47" i="106" s="1"/>
  <c r="F61" i="106" s="1"/>
  <c r="AP77" i="110"/>
  <c r="BD77" i="110"/>
  <c r="BR77" i="110"/>
  <c r="BR63" i="110"/>
  <c r="BD63" i="110"/>
  <c r="AP63" i="110"/>
  <c r="CA12" i="110"/>
  <c r="BZ26" i="110"/>
  <c r="BZ40" i="110" s="1"/>
  <c r="BZ54" i="110" s="1"/>
  <c r="BZ68" i="110" s="1"/>
  <c r="BK12" i="110"/>
  <c r="BJ26" i="110"/>
  <c r="BJ40" i="110" s="1"/>
  <c r="BJ54" i="110" s="1"/>
  <c r="BJ68" i="110" s="1"/>
  <c r="AX12" i="110"/>
  <c r="AW26" i="110"/>
  <c r="AW40" i="110" s="1"/>
  <c r="AW54" i="110" s="1"/>
  <c r="AW68" i="110" s="1"/>
  <c r="AJ12" i="110"/>
  <c r="AI26" i="110"/>
  <c r="AI40" i="110" s="1"/>
  <c r="AI54" i="110" s="1"/>
  <c r="AI68" i="110" s="1"/>
  <c r="V12" i="110"/>
  <c r="U26" i="110"/>
  <c r="U40" i="110" s="1"/>
  <c r="U54" i="110" s="1"/>
  <c r="U68" i="110" s="1"/>
  <c r="G26" i="110"/>
  <c r="G40" i="110" s="1"/>
  <c r="G54" i="110" s="1"/>
  <c r="G68" i="110" s="1"/>
  <c r="H12" i="110"/>
  <c r="AC104" i="28"/>
  <c r="R104" i="28" s="1"/>
  <c r="AC105" i="28"/>
  <c r="R105" i="28" s="1"/>
  <c r="AC106" i="87"/>
  <c r="R106" i="87" s="1"/>
  <c r="AC106" i="89"/>
  <c r="R106" i="89" s="1"/>
  <c r="AC106" i="91"/>
  <c r="R106" i="91" s="1"/>
  <c r="M30" i="89"/>
  <c r="M30" i="28"/>
  <c r="M30" i="87"/>
  <c r="V114" i="87"/>
  <c r="AI71" i="110" s="1"/>
  <c r="AC112" i="91"/>
  <c r="R112" i="91" s="1"/>
  <c r="AC112" i="93"/>
  <c r="R112" i="93" s="1"/>
  <c r="AC112" i="87"/>
  <c r="R112" i="87" s="1"/>
  <c r="AC119" i="28"/>
  <c r="R119" i="28" s="1"/>
  <c r="AC112" i="89"/>
  <c r="R112" i="89" s="1"/>
  <c r="V114" i="89"/>
  <c r="AW71" i="110" s="1"/>
  <c r="V114" i="91"/>
  <c r="BK71" i="110" s="1"/>
  <c r="AC118" i="28"/>
  <c r="R118" i="28" s="1"/>
  <c r="AC118" i="93"/>
  <c r="R118" i="93" s="1"/>
  <c r="AC120" i="87"/>
  <c r="R120" i="87" s="1"/>
  <c r="V114" i="93"/>
  <c r="BY71" i="110" s="1"/>
  <c r="AC119" i="93"/>
  <c r="R119" i="93" s="1"/>
  <c r="AC120" i="91"/>
  <c r="R120" i="91" s="1"/>
  <c r="AC120" i="89"/>
  <c r="R120" i="89" s="1"/>
  <c r="BW34" i="110"/>
  <c r="S34" i="110"/>
  <c r="BX34" i="110"/>
  <c r="T34" i="110"/>
  <c r="BV34" i="110"/>
  <c r="R34" i="110"/>
  <c r="C4" i="112"/>
  <c r="AA76" i="87" l="1"/>
  <c r="AA61" i="87"/>
  <c r="AB118" i="87"/>
  <c r="AB60" i="87"/>
  <c r="Z118" i="87"/>
  <c r="S104" i="87"/>
  <c r="AF48" i="110"/>
  <c r="W104" i="87"/>
  <c r="S90" i="87"/>
  <c r="AF47" i="110" s="1"/>
  <c r="AA60" i="87"/>
  <c r="Y118" i="87"/>
  <c r="AA118" i="87"/>
  <c r="AB104" i="87"/>
  <c r="X118" i="87"/>
  <c r="Y104" i="87"/>
  <c r="AB90" i="87"/>
  <c r="V118" i="87"/>
  <c r="U118" i="87"/>
  <c r="T118" i="87"/>
  <c r="X104" i="87"/>
  <c r="AA104" i="87"/>
  <c r="W118" i="87"/>
  <c r="S118" i="87"/>
  <c r="Z104" i="87"/>
  <c r="T104" i="87"/>
  <c r="U104" i="87"/>
  <c r="V104" i="87"/>
  <c r="AA90" i="87"/>
  <c r="AB76" i="87"/>
  <c r="AB61" i="87"/>
  <c r="AG34" i="110"/>
  <c r="AH34" i="110"/>
  <c r="AF34" i="110"/>
  <c r="K19" i="46"/>
  <c r="U19" i="46"/>
  <c r="H10" i="46"/>
  <c r="H9" i="46"/>
  <c r="H5" i="106"/>
  <c r="G19" i="106"/>
  <c r="G33" i="106" s="1"/>
  <c r="G47" i="106" s="1"/>
  <c r="G61" i="106" s="1"/>
  <c r="AB75" i="110"/>
  <c r="AB61" i="110"/>
  <c r="AB76" i="110"/>
  <c r="AB62" i="110"/>
  <c r="CB12" i="110"/>
  <c r="CA26" i="110"/>
  <c r="CA40" i="110" s="1"/>
  <c r="CA54" i="110" s="1"/>
  <c r="CA68" i="110" s="1"/>
  <c r="BL12" i="110"/>
  <c r="BK26" i="110"/>
  <c r="BK40" i="110" s="1"/>
  <c r="BK54" i="110" s="1"/>
  <c r="BK68" i="110" s="1"/>
  <c r="AX26" i="110"/>
  <c r="AX40" i="110" s="1"/>
  <c r="AX54" i="110" s="1"/>
  <c r="AX68" i="110" s="1"/>
  <c r="AY12" i="110"/>
  <c r="AJ26" i="110"/>
  <c r="AJ40" i="110" s="1"/>
  <c r="AJ54" i="110" s="1"/>
  <c r="AJ68" i="110" s="1"/>
  <c r="AK12" i="110"/>
  <c r="W12" i="110"/>
  <c r="V26" i="110"/>
  <c r="V40" i="110" s="1"/>
  <c r="V54" i="110" s="1"/>
  <c r="V68" i="110" s="1"/>
  <c r="I12" i="110"/>
  <c r="H26" i="110"/>
  <c r="H40" i="110" s="1"/>
  <c r="H54" i="110" s="1"/>
  <c r="H68" i="110" s="1"/>
  <c r="V115" i="87"/>
  <c r="AI72" i="110" s="1"/>
  <c r="U115" i="87"/>
  <c r="AH72" i="110" s="1"/>
  <c r="T115" i="87"/>
  <c r="AG72" i="110" s="1"/>
  <c r="Z115" i="87"/>
  <c r="AM72" i="110" s="1"/>
  <c r="Y115" i="87"/>
  <c r="AL72" i="110" s="1"/>
  <c r="X115" i="87"/>
  <c r="AK72" i="110" s="1"/>
  <c r="W115" i="87"/>
  <c r="AJ72" i="110" s="1"/>
  <c r="W115" i="89"/>
  <c r="AX72" i="110" s="1"/>
  <c r="V115" i="89"/>
  <c r="AW72" i="110" s="1"/>
  <c r="U115" i="89"/>
  <c r="AV72" i="110" s="1"/>
  <c r="T115" i="89"/>
  <c r="AU72" i="110" s="1"/>
  <c r="Z115" i="89"/>
  <c r="BA72" i="110" s="1"/>
  <c r="Y115" i="89"/>
  <c r="AZ72" i="110" s="1"/>
  <c r="X115" i="89"/>
  <c r="AY72" i="110" s="1"/>
  <c r="AF75" i="110" l="1"/>
  <c r="AC118" i="87"/>
  <c r="R118" i="87" s="1"/>
  <c r="AF76" i="110"/>
  <c r="AC119" i="87"/>
  <c r="R119" i="87" s="1"/>
  <c r="AO48" i="110"/>
  <c r="AJ61" i="110"/>
  <c r="AO75" i="110"/>
  <c r="AO76" i="110"/>
  <c r="AI76" i="110"/>
  <c r="AN48" i="110"/>
  <c r="AI75" i="110"/>
  <c r="AO61" i="110"/>
  <c r="AK62" i="110"/>
  <c r="AL76" i="110"/>
  <c r="AO20" i="110"/>
  <c r="AK76" i="110"/>
  <c r="AO33" i="110"/>
  <c r="AG61" i="110"/>
  <c r="AH76" i="110"/>
  <c r="AO34" i="110"/>
  <c r="AJ62" i="110"/>
  <c r="AN20" i="110"/>
  <c r="AJ76" i="110"/>
  <c r="AH75" i="110"/>
  <c r="AG76" i="110"/>
  <c r="AN34" i="110"/>
  <c r="AM61" i="110"/>
  <c r="AN61" i="110"/>
  <c r="AN62" i="110"/>
  <c r="AN47" i="110"/>
  <c r="AG62" i="110"/>
  <c r="AK61" i="110"/>
  <c r="AO47" i="110"/>
  <c r="AN75" i="110"/>
  <c r="AF61" i="110"/>
  <c r="AC104" i="87"/>
  <c r="R104" i="87" s="1"/>
  <c r="AN33" i="110"/>
  <c r="AL62" i="110"/>
  <c r="AL61" i="110"/>
  <c r="AI62" i="110"/>
  <c r="AM75" i="110"/>
  <c r="AN76" i="110"/>
  <c r="AI61" i="110"/>
  <c r="AJ75" i="110"/>
  <c r="AG75" i="110"/>
  <c r="AH62" i="110"/>
  <c r="AL75" i="110"/>
  <c r="AM76" i="110"/>
  <c r="AH61" i="110"/>
  <c r="AF62" i="110"/>
  <c r="AC105" i="87"/>
  <c r="R105" i="87" s="1"/>
  <c r="AM62" i="110"/>
  <c r="AK75" i="110"/>
  <c r="AN19" i="110"/>
  <c r="AO19" i="110"/>
  <c r="AO62" i="110"/>
  <c r="L19" i="46"/>
  <c r="W19" i="46" s="1"/>
  <c r="V19" i="46"/>
  <c r="I10" i="46"/>
  <c r="I9" i="46"/>
  <c r="I5" i="106"/>
  <c r="H19" i="106"/>
  <c r="H33" i="106" s="1"/>
  <c r="H47" i="106" s="1"/>
  <c r="H61" i="106" s="1"/>
  <c r="V116" i="87"/>
  <c r="V117" i="87" s="1"/>
  <c r="V116" i="89"/>
  <c r="V117" i="89" s="1"/>
  <c r="CC12" i="110"/>
  <c r="CB26" i="110"/>
  <c r="CB40" i="110" s="1"/>
  <c r="CB54" i="110" s="1"/>
  <c r="CB68" i="110" s="1"/>
  <c r="BM12" i="110"/>
  <c r="BL26" i="110"/>
  <c r="BL40" i="110" s="1"/>
  <c r="BL54" i="110" s="1"/>
  <c r="BL68" i="110" s="1"/>
  <c r="AZ12" i="110"/>
  <c r="AY26" i="110"/>
  <c r="AY40" i="110" s="1"/>
  <c r="AY54" i="110" s="1"/>
  <c r="AY68" i="110" s="1"/>
  <c r="AL12" i="110"/>
  <c r="AK26" i="110"/>
  <c r="AK40" i="110" s="1"/>
  <c r="AK54" i="110" s="1"/>
  <c r="AK68" i="110" s="1"/>
  <c r="X12" i="110"/>
  <c r="W26" i="110"/>
  <c r="W40" i="110" s="1"/>
  <c r="W54" i="110" s="1"/>
  <c r="W68" i="110" s="1"/>
  <c r="J12" i="110"/>
  <c r="I26" i="110"/>
  <c r="I40" i="110" s="1"/>
  <c r="I54" i="110" s="1"/>
  <c r="I68" i="110" s="1"/>
  <c r="AA115" i="87"/>
  <c r="AN72" i="110" s="1"/>
  <c r="AN44" i="110"/>
  <c r="X115" i="91"/>
  <c r="BM72" i="110" s="1"/>
  <c r="W115" i="91"/>
  <c r="BL72" i="110" s="1"/>
  <c r="V115" i="91"/>
  <c r="BK72" i="110" s="1"/>
  <c r="U115" i="91"/>
  <c r="BJ72" i="110" s="1"/>
  <c r="T115" i="91"/>
  <c r="BI72" i="110" s="1"/>
  <c r="Z115" i="91"/>
  <c r="BO72" i="110" s="1"/>
  <c r="Y115" i="91"/>
  <c r="BN72" i="110" s="1"/>
  <c r="AB113" i="89"/>
  <c r="BC70" i="110" s="1"/>
  <c r="AB85" i="89"/>
  <c r="BC42" i="110" s="1"/>
  <c r="Y115" i="93"/>
  <c r="CB72" i="110" s="1"/>
  <c r="X115" i="93"/>
  <c r="CA72" i="110" s="1"/>
  <c r="W115" i="93"/>
  <c r="BZ72" i="110" s="1"/>
  <c r="V115" i="93"/>
  <c r="BY72" i="110" s="1"/>
  <c r="U115" i="93"/>
  <c r="BX72" i="110" s="1"/>
  <c r="T115" i="93"/>
  <c r="BW72" i="110" s="1"/>
  <c r="Z115" i="93"/>
  <c r="CC72" i="110" s="1"/>
  <c r="AB85" i="87"/>
  <c r="AO42" i="110" s="1"/>
  <c r="AB113" i="87"/>
  <c r="AO70" i="110" s="1"/>
  <c r="AA115" i="89"/>
  <c r="BB72" i="110" s="1"/>
  <c r="BB44" i="110"/>
  <c r="AA113" i="89"/>
  <c r="BB70" i="110" s="1"/>
  <c r="AA85" i="89"/>
  <c r="BB42" i="110" s="1"/>
  <c r="AB115" i="87"/>
  <c r="AO72" i="110" s="1"/>
  <c r="AO44" i="110"/>
  <c r="AA85" i="87"/>
  <c r="AN42" i="110" s="1"/>
  <c r="AA113" i="87"/>
  <c r="AN70" i="110" s="1"/>
  <c r="BC44" i="110"/>
  <c r="AB115" i="89"/>
  <c r="BC72" i="110" s="1"/>
  <c r="T113" i="87"/>
  <c r="AG70" i="110" s="1"/>
  <c r="W113" i="89"/>
  <c r="AX70" i="110" s="1"/>
  <c r="S113" i="87"/>
  <c r="AF70" i="110" s="1"/>
  <c r="AC44" i="87"/>
  <c r="R44" i="87" s="1"/>
  <c r="Y113" i="87"/>
  <c r="AL70" i="110" s="1"/>
  <c r="X113" i="87"/>
  <c r="AK70" i="110" s="1"/>
  <c r="X113" i="89"/>
  <c r="AY70" i="110" s="1"/>
  <c r="T113" i="89"/>
  <c r="AU70" i="110" s="1"/>
  <c r="W113" i="87"/>
  <c r="AJ70" i="110" s="1"/>
  <c r="Y113" i="89"/>
  <c r="AZ70" i="110" s="1"/>
  <c r="Z113" i="89"/>
  <c r="BA70" i="110" s="1"/>
  <c r="Z113" i="87"/>
  <c r="AM70" i="110" s="1"/>
  <c r="U113" i="89"/>
  <c r="AV70" i="110" s="1"/>
  <c r="U113" i="87"/>
  <c r="AH70" i="110" s="1"/>
  <c r="S113" i="89"/>
  <c r="AT70" i="110" s="1"/>
  <c r="AC44" i="89"/>
  <c r="R44" i="89" s="1"/>
  <c r="S115" i="87"/>
  <c r="AF72" i="110" s="1"/>
  <c r="M64" i="87"/>
  <c r="S115" i="89"/>
  <c r="AT72" i="110" s="1"/>
  <c r="M64" i="89"/>
  <c r="AW73" i="110" l="1"/>
  <c r="AI73" i="110"/>
  <c r="AP62" i="110"/>
  <c r="AP76" i="110"/>
  <c r="AP61" i="110"/>
  <c r="AP75" i="110"/>
  <c r="J10" i="46"/>
  <c r="J9" i="46"/>
  <c r="J5" i="106"/>
  <c r="I19" i="106"/>
  <c r="I33" i="106" s="1"/>
  <c r="I47" i="106" s="1"/>
  <c r="I61" i="106" s="1"/>
  <c r="U114" i="89"/>
  <c r="AV71" i="110" s="1"/>
  <c r="AC115" i="89"/>
  <c r="R115" i="89" s="1"/>
  <c r="BD72" i="110"/>
  <c r="S114" i="87"/>
  <c r="AF71" i="110" s="1"/>
  <c r="Y114" i="89"/>
  <c r="AZ71" i="110" s="1"/>
  <c r="Z114" i="87"/>
  <c r="AM71" i="110" s="1"/>
  <c r="U114" i="87"/>
  <c r="AH71" i="110" s="1"/>
  <c r="Z114" i="89"/>
  <c r="BA71" i="110" s="1"/>
  <c r="V116" i="93"/>
  <c r="V117" i="93" s="1"/>
  <c r="W114" i="89"/>
  <c r="AX71" i="110" s="1"/>
  <c r="AA86" i="89"/>
  <c r="BB43" i="110" s="1"/>
  <c r="W114" i="87"/>
  <c r="AJ71" i="110" s="1"/>
  <c r="X114" i="87"/>
  <c r="AK71" i="110" s="1"/>
  <c r="AB114" i="89"/>
  <c r="BC71" i="110" s="1"/>
  <c r="AC115" i="87"/>
  <c r="R115" i="87" s="1"/>
  <c r="AP72" i="110"/>
  <c r="X114" i="89"/>
  <c r="AY71" i="110" s="1"/>
  <c r="AB86" i="89"/>
  <c r="BC43" i="110" s="1"/>
  <c r="V116" i="91"/>
  <c r="V117" i="91" s="1"/>
  <c r="T114" i="87"/>
  <c r="AG71" i="110" s="1"/>
  <c r="AA114" i="87"/>
  <c r="AN71" i="110" s="1"/>
  <c r="AA114" i="89"/>
  <c r="BB71" i="110" s="1"/>
  <c r="AB114" i="87"/>
  <c r="AO71" i="110" s="1"/>
  <c r="S114" i="89"/>
  <c r="AT71" i="110" s="1"/>
  <c r="T114" i="89"/>
  <c r="AU71" i="110" s="1"/>
  <c r="Y114" i="87"/>
  <c r="AL71" i="110" s="1"/>
  <c r="CC26" i="110"/>
  <c r="CC40" i="110" s="1"/>
  <c r="CC54" i="110" s="1"/>
  <c r="CC68" i="110" s="1"/>
  <c r="CD12" i="110"/>
  <c r="BM26" i="110"/>
  <c r="BM40" i="110" s="1"/>
  <c r="BM54" i="110" s="1"/>
  <c r="BM68" i="110" s="1"/>
  <c r="BN12" i="110"/>
  <c r="BA12" i="110"/>
  <c r="AZ26" i="110"/>
  <c r="AZ40" i="110" s="1"/>
  <c r="AZ54" i="110" s="1"/>
  <c r="AZ68" i="110" s="1"/>
  <c r="AM12" i="110"/>
  <c r="AL26" i="110"/>
  <c r="AL40" i="110" s="1"/>
  <c r="AL54" i="110" s="1"/>
  <c r="AL68" i="110" s="1"/>
  <c r="Y12" i="110"/>
  <c r="X26" i="110"/>
  <c r="X40" i="110" s="1"/>
  <c r="X54" i="110" s="1"/>
  <c r="X68" i="110" s="1"/>
  <c r="K12" i="110"/>
  <c r="J26" i="110"/>
  <c r="J40" i="110" s="1"/>
  <c r="J54" i="110" s="1"/>
  <c r="J68" i="110" s="1"/>
  <c r="BP44" i="110"/>
  <c r="AA115" i="91"/>
  <c r="BP72" i="110" s="1"/>
  <c r="AA115" i="93"/>
  <c r="CD72" i="110" s="1"/>
  <c r="CD44" i="110"/>
  <c r="AB85" i="93"/>
  <c r="CE42" i="110" s="1"/>
  <c r="AB113" i="93"/>
  <c r="CE70" i="110" s="1"/>
  <c r="AA86" i="87"/>
  <c r="AN43" i="110" s="1"/>
  <c r="AB85" i="91"/>
  <c r="BQ42" i="110" s="1"/>
  <c r="AB113" i="91"/>
  <c r="BQ70" i="110" s="1"/>
  <c r="AB115" i="93"/>
  <c r="CE72" i="110" s="1"/>
  <c r="CE44" i="110"/>
  <c r="AA85" i="93"/>
  <c r="CD42" i="110" s="1"/>
  <c r="AA113" i="93"/>
  <c r="CD70" i="110" s="1"/>
  <c r="AA113" i="91"/>
  <c r="BP70" i="110" s="1"/>
  <c r="AA85" i="91"/>
  <c r="BP42" i="110" s="1"/>
  <c r="AB86" i="87"/>
  <c r="AO43" i="110" s="1"/>
  <c r="BQ44" i="110"/>
  <c r="AB115" i="91"/>
  <c r="BQ72" i="110" s="1"/>
  <c r="U113" i="93"/>
  <c r="BX70" i="110" s="1"/>
  <c r="U113" i="91"/>
  <c r="BJ70" i="110" s="1"/>
  <c r="T113" i="93"/>
  <c r="BW70" i="110" s="1"/>
  <c r="Z113" i="91"/>
  <c r="BO70" i="110" s="1"/>
  <c r="Z113" i="93"/>
  <c r="CC70" i="110" s="1"/>
  <c r="X113" i="93"/>
  <c r="CA70" i="110" s="1"/>
  <c r="X113" i="91"/>
  <c r="BM70" i="110" s="1"/>
  <c r="AC113" i="89"/>
  <c r="R113" i="89" s="1"/>
  <c r="W113" i="93"/>
  <c r="BZ70" i="110" s="1"/>
  <c r="W113" i="91"/>
  <c r="BL70" i="110" s="1"/>
  <c r="S113" i="91"/>
  <c r="BH70" i="110" s="1"/>
  <c r="AC44" i="91"/>
  <c r="R44" i="91" s="1"/>
  <c r="S113" i="93"/>
  <c r="BV70" i="110" s="1"/>
  <c r="AC44" i="93"/>
  <c r="R44" i="93" s="1"/>
  <c r="T113" i="91"/>
  <c r="BI70" i="110" s="1"/>
  <c r="AC113" i="87"/>
  <c r="R113" i="87" s="1"/>
  <c r="Y113" i="93"/>
  <c r="CB70" i="110" s="1"/>
  <c r="Y113" i="91"/>
  <c r="BN70" i="110" s="1"/>
  <c r="S115" i="93"/>
  <c r="BV72" i="110" s="1"/>
  <c r="M64" i="93"/>
  <c r="M64" i="91"/>
  <c r="S115" i="91"/>
  <c r="BH72" i="110" s="1"/>
  <c r="C6" i="112"/>
  <c r="BK73" i="110" l="1"/>
  <c r="BY73" i="110"/>
  <c r="K10" i="46"/>
  <c r="K9" i="46"/>
  <c r="AA88" i="89"/>
  <c r="AA89" i="89" s="1"/>
  <c r="S116" i="87"/>
  <c r="S117" i="87" s="1"/>
  <c r="S116" i="89"/>
  <c r="S117" i="89" s="1"/>
  <c r="AB116" i="87"/>
  <c r="AB117" i="87" s="1"/>
  <c r="BR72" i="110"/>
  <c r="K5" i="106"/>
  <c r="J19" i="106"/>
  <c r="J33" i="106" s="1"/>
  <c r="J47" i="106" s="1"/>
  <c r="J61" i="106" s="1"/>
  <c r="AA116" i="89"/>
  <c r="AA117" i="89" s="1"/>
  <c r="AB116" i="89"/>
  <c r="AB117" i="89" s="1"/>
  <c r="W116" i="89"/>
  <c r="W117" i="89" s="1"/>
  <c r="AA114" i="93"/>
  <c r="CD71" i="110" s="1"/>
  <c r="X116" i="89"/>
  <c r="X117" i="89" s="1"/>
  <c r="W116" i="87"/>
  <c r="W117" i="87" s="1"/>
  <c r="AC115" i="93"/>
  <c r="R115" i="93" s="1"/>
  <c r="CF72" i="110"/>
  <c r="AA114" i="91"/>
  <c r="BP71" i="110" s="1"/>
  <c r="X114" i="93"/>
  <c r="CA71" i="110" s="1"/>
  <c r="Y114" i="91"/>
  <c r="BN71" i="110" s="1"/>
  <c r="U114" i="91"/>
  <c r="BJ71" i="110" s="1"/>
  <c r="AB88" i="87"/>
  <c r="AB89" i="87" s="1"/>
  <c r="AA86" i="93"/>
  <c r="CD43" i="110" s="1"/>
  <c r="Y116" i="87"/>
  <c r="Y117" i="87" s="1"/>
  <c r="Z116" i="87"/>
  <c r="Z117" i="87" s="1"/>
  <c r="AB88" i="89"/>
  <c r="AB89" i="89" s="1"/>
  <c r="AP70" i="110"/>
  <c r="T114" i="91"/>
  <c r="BI71" i="110" s="1"/>
  <c r="W114" i="91"/>
  <c r="BL71" i="110" s="1"/>
  <c r="W114" i="93"/>
  <c r="BZ71" i="110" s="1"/>
  <c r="AB114" i="93"/>
  <c r="CE71" i="110" s="1"/>
  <c r="S114" i="93"/>
  <c r="BV71" i="110" s="1"/>
  <c r="Z114" i="93"/>
  <c r="CC71" i="110" s="1"/>
  <c r="U114" i="93"/>
  <c r="BX71" i="110" s="1"/>
  <c r="AB86" i="93"/>
  <c r="CE43" i="110" s="1"/>
  <c r="T116" i="89"/>
  <c r="T117" i="89" s="1"/>
  <c r="Y116" i="89"/>
  <c r="Y117" i="89" s="1"/>
  <c r="AB86" i="91"/>
  <c r="BQ43" i="110" s="1"/>
  <c r="AC114" i="87"/>
  <c r="R114" i="87" s="1"/>
  <c r="BD70" i="110"/>
  <c r="AA116" i="87"/>
  <c r="AA117" i="87" s="1"/>
  <c r="S114" i="91"/>
  <c r="BH71" i="110" s="1"/>
  <c r="T116" i="87"/>
  <c r="T117" i="87" s="1"/>
  <c r="X116" i="87"/>
  <c r="X117" i="87" s="1"/>
  <c r="T114" i="93"/>
  <c r="BW71" i="110" s="1"/>
  <c r="U116" i="87"/>
  <c r="U117" i="87" s="1"/>
  <c r="Y114" i="93"/>
  <c r="CB71" i="110" s="1"/>
  <c r="X114" i="91"/>
  <c r="BM71" i="110" s="1"/>
  <c r="Z114" i="91"/>
  <c r="BO71" i="110" s="1"/>
  <c r="AC114" i="89"/>
  <c r="R114" i="89" s="1"/>
  <c r="AA86" i="91"/>
  <c r="BP43" i="110" s="1"/>
  <c r="AB114" i="91"/>
  <c r="BQ71" i="110" s="1"/>
  <c r="Z116" i="89"/>
  <c r="Z117" i="89" s="1"/>
  <c r="U116" i="89"/>
  <c r="U117" i="89" s="1"/>
  <c r="CE12" i="110"/>
  <c r="CE26" i="110" s="1"/>
  <c r="CE40" i="110" s="1"/>
  <c r="CE54" i="110" s="1"/>
  <c r="CE68" i="110" s="1"/>
  <c r="CD26" i="110"/>
  <c r="CD40" i="110" s="1"/>
  <c r="CD54" i="110" s="1"/>
  <c r="CD68" i="110" s="1"/>
  <c r="BO12" i="110"/>
  <c r="BN26" i="110"/>
  <c r="BN40" i="110" s="1"/>
  <c r="BN54" i="110" s="1"/>
  <c r="BN68" i="110" s="1"/>
  <c r="BA26" i="110"/>
  <c r="BA40" i="110" s="1"/>
  <c r="BA54" i="110" s="1"/>
  <c r="BA68" i="110" s="1"/>
  <c r="BB12" i="110"/>
  <c r="AM26" i="110"/>
  <c r="AM40" i="110" s="1"/>
  <c r="AM54" i="110" s="1"/>
  <c r="AM68" i="110" s="1"/>
  <c r="AN12" i="110"/>
  <c r="Y26" i="110"/>
  <c r="Y40" i="110" s="1"/>
  <c r="Y54" i="110" s="1"/>
  <c r="Y68" i="110" s="1"/>
  <c r="Z12" i="110"/>
  <c r="L12" i="110"/>
  <c r="K26" i="110"/>
  <c r="K40" i="110" s="1"/>
  <c r="K54" i="110" s="1"/>
  <c r="K68" i="110" s="1"/>
  <c r="AZ25" i="28"/>
  <c r="BI41" i="28"/>
  <c r="BI36" i="28"/>
  <c r="BF34" i="28"/>
  <c r="BI26" i="28"/>
  <c r="BI21" i="28"/>
  <c r="BF27" i="28"/>
  <c r="BF22" i="28"/>
  <c r="BI39" i="28"/>
  <c r="BF25" i="28"/>
  <c r="BF20" i="28"/>
  <c r="BF28" i="28"/>
  <c r="BI35" i="28"/>
  <c r="BF40" i="28"/>
  <c r="BF38" i="28"/>
  <c r="BI24" i="28"/>
  <c r="BF37" i="28"/>
  <c r="BI29" i="28"/>
  <c r="BF35" i="28"/>
  <c r="BI40" i="28"/>
  <c r="BI34" i="28"/>
  <c r="BF39" i="28"/>
  <c r="BF33" i="28"/>
  <c r="BI25" i="28"/>
  <c r="BI20" i="28"/>
  <c r="BF26" i="28"/>
  <c r="BF21" i="28"/>
  <c r="AE24" i="28"/>
  <c r="BF23" i="28"/>
  <c r="BF41" i="28"/>
  <c r="BI38" i="28"/>
  <c r="BI33" i="28"/>
  <c r="BI45" i="28"/>
  <c r="BF45" i="28"/>
  <c r="BI28" i="28"/>
  <c r="BI23" i="28"/>
  <c r="BF24" i="28"/>
  <c r="BI42" i="28"/>
  <c r="BI37" i="28"/>
  <c r="BF42" i="28"/>
  <c r="BF36" i="28"/>
  <c r="BI22" i="28"/>
  <c r="BF29" i="28"/>
  <c r="BI27" i="28"/>
  <c r="AA88" i="87"/>
  <c r="AA89" i="87" s="1"/>
  <c r="AC113" i="91"/>
  <c r="R113" i="91" s="1"/>
  <c r="AC113" i="93"/>
  <c r="R113" i="93" s="1"/>
  <c r="AC115" i="91"/>
  <c r="R115" i="91" s="1"/>
  <c r="BY74" i="110"/>
  <c r="BA73" i="110" l="1"/>
  <c r="AK73" i="110"/>
  <c r="AK74" i="110"/>
  <c r="AU73" i="110"/>
  <c r="AX73" i="110"/>
  <c r="AG73" i="110"/>
  <c r="AG74" i="110"/>
  <c r="BC73" i="110"/>
  <c r="BB45" i="110"/>
  <c r="BC45" i="110"/>
  <c r="BB73" i="110"/>
  <c r="AN73" i="110"/>
  <c r="AN74" i="110"/>
  <c r="AM73" i="110"/>
  <c r="AM74" i="110"/>
  <c r="AL73" i="110"/>
  <c r="AL74" i="110"/>
  <c r="AZ73" i="110"/>
  <c r="AN45" i="110"/>
  <c r="AN46" i="110"/>
  <c r="AJ73" i="110"/>
  <c r="AJ74" i="110"/>
  <c r="AV73" i="110"/>
  <c r="AH73" i="110"/>
  <c r="AH74" i="110"/>
  <c r="AO45" i="110"/>
  <c r="AO46" i="110"/>
  <c r="AY73" i="110"/>
  <c r="AO73" i="110"/>
  <c r="AO74" i="110"/>
  <c r="AT73" i="110"/>
  <c r="AF73" i="110"/>
  <c r="AF74" i="110"/>
  <c r="V120" i="93"/>
  <c r="BY77" i="110" s="1"/>
  <c r="BY78" i="110" s="1"/>
  <c r="L10" i="46"/>
  <c r="L9" i="46"/>
  <c r="S116" i="91"/>
  <c r="S117" i="91" s="1"/>
  <c r="S116" i="93"/>
  <c r="S117" i="93" s="1"/>
  <c r="AB88" i="91"/>
  <c r="AB89" i="91" s="1"/>
  <c r="AA88" i="93"/>
  <c r="AA89" i="93" s="1"/>
  <c r="AA116" i="93"/>
  <c r="AA117" i="93" s="1"/>
  <c r="AB88" i="93"/>
  <c r="AB89" i="93" s="1"/>
  <c r="AC114" i="93"/>
  <c r="R114" i="93" s="1"/>
  <c r="AB116" i="93"/>
  <c r="AB117" i="93" s="1"/>
  <c r="AA88" i="91"/>
  <c r="AA89" i="91" s="1"/>
  <c r="L5" i="106"/>
  <c r="K19" i="106"/>
  <c r="K33" i="106" s="1"/>
  <c r="K47" i="106" s="1"/>
  <c r="K61" i="106" s="1"/>
  <c r="BR70" i="110"/>
  <c r="AP71" i="110"/>
  <c r="U116" i="91"/>
  <c r="U117" i="91" s="1"/>
  <c r="CF70" i="110"/>
  <c r="Y116" i="91"/>
  <c r="Y117" i="91" s="1"/>
  <c r="W116" i="93"/>
  <c r="W117" i="93" s="1"/>
  <c r="Y116" i="93"/>
  <c r="Y117" i="93" s="1"/>
  <c r="T116" i="93"/>
  <c r="T117" i="93" s="1"/>
  <c r="AC116" i="89"/>
  <c r="AB116" i="91"/>
  <c r="AB117" i="91" s="1"/>
  <c r="Z116" i="91"/>
  <c r="Z117" i="91" s="1"/>
  <c r="AC116" i="87"/>
  <c r="W116" i="91"/>
  <c r="W117" i="91" s="1"/>
  <c r="AC114" i="91"/>
  <c r="R114" i="91" s="1"/>
  <c r="AA116" i="91"/>
  <c r="AA117" i="91" s="1"/>
  <c r="BD71" i="110"/>
  <c r="X116" i="93"/>
  <c r="X117" i="93" s="1"/>
  <c r="Z116" i="93"/>
  <c r="Z117" i="93" s="1"/>
  <c r="X116" i="91"/>
  <c r="X117" i="91" s="1"/>
  <c r="U116" i="93"/>
  <c r="U117" i="93" s="1"/>
  <c r="T116" i="91"/>
  <c r="T117" i="91" s="1"/>
  <c r="BO26" i="110"/>
  <c r="BO40" i="110" s="1"/>
  <c r="BO54" i="110" s="1"/>
  <c r="BO68" i="110" s="1"/>
  <c r="BP12" i="110"/>
  <c r="BC12" i="110"/>
  <c r="BC26" i="110" s="1"/>
  <c r="BC40" i="110" s="1"/>
  <c r="BC54" i="110" s="1"/>
  <c r="BC68" i="110" s="1"/>
  <c r="BB26" i="110"/>
  <c r="BB40" i="110" s="1"/>
  <c r="BB54" i="110" s="1"/>
  <c r="BB68" i="110" s="1"/>
  <c r="AO12" i="110"/>
  <c r="AO26" i="110" s="1"/>
  <c r="AO40" i="110" s="1"/>
  <c r="AO54" i="110" s="1"/>
  <c r="AO68" i="110" s="1"/>
  <c r="AN26" i="110"/>
  <c r="AN40" i="110" s="1"/>
  <c r="AN54" i="110" s="1"/>
  <c r="AN68" i="110" s="1"/>
  <c r="AA12" i="110"/>
  <c r="AA26" i="110" s="1"/>
  <c r="AA40" i="110" s="1"/>
  <c r="AA54" i="110" s="1"/>
  <c r="AA68" i="110" s="1"/>
  <c r="Z26" i="110"/>
  <c r="Z40" i="110" s="1"/>
  <c r="Z54" i="110" s="1"/>
  <c r="Z68" i="110" s="1"/>
  <c r="M12" i="110"/>
  <c r="M26" i="110" s="1"/>
  <c r="M40" i="110" s="1"/>
  <c r="M54" i="110" s="1"/>
  <c r="M68" i="110" s="1"/>
  <c r="L26" i="110"/>
  <c r="L40" i="110" s="1"/>
  <c r="L54" i="110" s="1"/>
  <c r="L68" i="110" s="1"/>
  <c r="BI30" i="28"/>
  <c r="BF30" i="28"/>
  <c r="AI74" i="110"/>
  <c r="U34" i="110"/>
  <c r="U90" i="28"/>
  <c r="T47" i="110" s="1"/>
  <c r="T90" i="28"/>
  <c r="S47" i="110" s="1"/>
  <c r="X20" i="110"/>
  <c r="S48" i="110"/>
  <c r="T20" i="110"/>
  <c r="W48" i="110"/>
  <c r="W20" i="110"/>
  <c r="V20" i="110"/>
  <c r="U20" i="110"/>
  <c r="S20" i="110"/>
  <c r="X48" i="110"/>
  <c r="W34" i="110"/>
  <c r="V34" i="110"/>
  <c r="Y34" i="110"/>
  <c r="Y20" i="110"/>
  <c r="T48" i="110"/>
  <c r="U48" i="110"/>
  <c r="X34" i="110"/>
  <c r="V48" i="110"/>
  <c r="Y48" i="110"/>
  <c r="Z92" i="89"/>
  <c r="BA49" i="110" s="1"/>
  <c r="Y92" i="89"/>
  <c r="AZ49" i="110" s="1"/>
  <c r="X92" i="89"/>
  <c r="AY49" i="110" s="1"/>
  <c r="W92" i="89"/>
  <c r="AX49" i="110" s="1"/>
  <c r="V92" i="89"/>
  <c r="AW49" i="110" s="1"/>
  <c r="U92" i="89"/>
  <c r="AV49" i="110" s="1"/>
  <c r="T92" i="89"/>
  <c r="AU49" i="110" s="1"/>
  <c r="Z92" i="91"/>
  <c r="BO49" i="110" s="1"/>
  <c r="Y92" i="91"/>
  <c r="BN49" i="110" s="1"/>
  <c r="X92" i="91"/>
  <c r="BM49" i="110" s="1"/>
  <c r="W92" i="91"/>
  <c r="BL49" i="110" s="1"/>
  <c r="V92" i="91"/>
  <c r="BK49" i="110" s="1"/>
  <c r="U92" i="91"/>
  <c r="BJ49" i="110" s="1"/>
  <c r="T92" i="91"/>
  <c r="BI49" i="110" s="1"/>
  <c r="Z78" i="89"/>
  <c r="BA35" i="110" s="1"/>
  <c r="Y78" i="89"/>
  <c r="AZ35" i="110" s="1"/>
  <c r="X78" i="89"/>
  <c r="AY35" i="110" s="1"/>
  <c r="W78" i="89"/>
  <c r="AX35" i="110" s="1"/>
  <c r="V78" i="89"/>
  <c r="AW35" i="110" s="1"/>
  <c r="U78" i="89"/>
  <c r="AV35" i="110" s="1"/>
  <c r="T78" i="89"/>
  <c r="AU35" i="110" s="1"/>
  <c r="Z78" i="91"/>
  <c r="BO35" i="110" s="1"/>
  <c r="Y78" i="91"/>
  <c r="BN35" i="110" s="1"/>
  <c r="X78" i="91"/>
  <c r="BM35" i="110" s="1"/>
  <c r="W78" i="91"/>
  <c r="BL35" i="110" s="1"/>
  <c r="V78" i="91"/>
  <c r="BK35" i="110" s="1"/>
  <c r="U78" i="91"/>
  <c r="BJ35" i="110" s="1"/>
  <c r="T78" i="91"/>
  <c r="BI35" i="110" s="1"/>
  <c r="S78" i="89"/>
  <c r="AT35" i="110" s="1"/>
  <c r="S78" i="91"/>
  <c r="BH35" i="110" s="1"/>
  <c r="Z62" i="89"/>
  <c r="BA21" i="110" s="1"/>
  <c r="Y62" i="89"/>
  <c r="AZ21" i="110" s="1"/>
  <c r="X62" i="89"/>
  <c r="AY21" i="110" s="1"/>
  <c r="W62" i="89"/>
  <c r="AX21" i="110" s="1"/>
  <c r="V62" i="89"/>
  <c r="AW21" i="110" s="1"/>
  <c r="U62" i="89"/>
  <c r="AV21" i="110" s="1"/>
  <c r="T62" i="89"/>
  <c r="AU21" i="110" s="1"/>
  <c r="Z62" i="91"/>
  <c r="BO21" i="110" s="1"/>
  <c r="Y62" i="91"/>
  <c r="BN21" i="110" s="1"/>
  <c r="X62" i="91"/>
  <c r="BM21" i="110" s="1"/>
  <c r="W62" i="91"/>
  <c r="BL21" i="110" s="1"/>
  <c r="V62" i="91"/>
  <c r="BK21" i="110" s="1"/>
  <c r="U62" i="91"/>
  <c r="BJ21" i="110" s="1"/>
  <c r="T62" i="91"/>
  <c r="BI21" i="110" s="1"/>
  <c r="S62" i="89"/>
  <c r="AT21" i="110" s="1"/>
  <c r="S62" i="91"/>
  <c r="BH21" i="110" s="1"/>
  <c r="S84" i="89"/>
  <c r="AT41" i="110" s="1"/>
  <c r="S84" i="91"/>
  <c r="BH41" i="110" s="1"/>
  <c r="S84" i="93"/>
  <c r="BV41" i="110" s="1"/>
  <c r="Z90" i="28"/>
  <c r="Y47" i="110" s="1"/>
  <c r="Y90" i="28"/>
  <c r="X47" i="110" s="1"/>
  <c r="X90" i="28"/>
  <c r="W47" i="110" s="1"/>
  <c r="W90" i="28"/>
  <c r="V47" i="110" s="1"/>
  <c r="V90" i="28"/>
  <c r="U47" i="110" s="1"/>
  <c r="S76" i="28"/>
  <c r="R33" i="110" s="1"/>
  <c r="Z84" i="89"/>
  <c r="BA41" i="110" s="1"/>
  <c r="Y84" i="89"/>
  <c r="AZ41" i="110" s="1"/>
  <c r="X84" i="89"/>
  <c r="AY41" i="110" s="1"/>
  <c r="W84" i="89"/>
  <c r="AX41" i="110" s="1"/>
  <c r="V84" i="89"/>
  <c r="AW41" i="110" s="1"/>
  <c r="U84" i="89"/>
  <c r="AV41" i="110" s="1"/>
  <c r="T84" i="89"/>
  <c r="AU41" i="110" s="1"/>
  <c r="Z84" i="91"/>
  <c r="BO41" i="110" s="1"/>
  <c r="Y84" i="91"/>
  <c r="BN41" i="110" s="1"/>
  <c r="X84" i="91"/>
  <c r="BM41" i="110" s="1"/>
  <c r="W84" i="91"/>
  <c r="BL41" i="110" s="1"/>
  <c r="V84" i="91"/>
  <c r="BK41" i="110" s="1"/>
  <c r="U84" i="91"/>
  <c r="BJ41" i="110" s="1"/>
  <c r="T84" i="91"/>
  <c r="BI41" i="110" s="1"/>
  <c r="Z84" i="93"/>
  <c r="CC41" i="110" s="1"/>
  <c r="Y84" i="93"/>
  <c r="CB41" i="110" s="1"/>
  <c r="X84" i="93"/>
  <c r="CA41" i="110" s="1"/>
  <c r="W84" i="93"/>
  <c r="BZ41" i="110" s="1"/>
  <c r="V84" i="93"/>
  <c r="BY41" i="110" s="1"/>
  <c r="U84" i="93"/>
  <c r="BX41" i="110" s="1"/>
  <c r="T84" i="93"/>
  <c r="BW41" i="110" s="1"/>
  <c r="Z76" i="28"/>
  <c r="Y33" i="110" s="1"/>
  <c r="Y76" i="28"/>
  <c r="X33" i="110" s="1"/>
  <c r="X76" i="28"/>
  <c r="W33" i="110" s="1"/>
  <c r="W76" i="28"/>
  <c r="V33" i="110" s="1"/>
  <c r="V76" i="28"/>
  <c r="U33" i="110" s="1"/>
  <c r="U76" i="28"/>
  <c r="T33" i="110" s="1"/>
  <c r="T76" i="28"/>
  <c r="S33" i="110" s="1"/>
  <c r="S60" i="28"/>
  <c r="R19" i="110" s="1"/>
  <c r="BD73" i="110" l="1"/>
  <c r="BI73" i="110"/>
  <c r="BL73" i="110"/>
  <c r="BN73" i="110"/>
  <c r="BP45" i="110"/>
  <c r="BM73" i="110"/>
  <c r="BO73" i="110"/>
  <c r="BJ73" i="110"/>
  <c r="BQ73" i="110"/>
  <c r="AP73" i="110"/>
  <c r="BQ45" i="110"/>
  <c r="BP73" i="110"/>
  <c r="BH73" i="110"/>
  <c r="BP76" i="110"/>
  <c r="BL76" i="110"/>
  <c r="Y118" i="91"/>
  <c r="BN75" i="110" s="1"/>
  <c r="BK62" i="110"/>
  <c r="AB118" i="91"/>
  <c r="BQ75" i="110" s="1"/>
  <c r="BQ62" i="110"/>
  <c r="BQ34" i="110"/>
  <c r="BK76" i="110"/>
  <c r="X118" i="91"/>
  <c r="BM75" i="110" s="1"/>
  <c r="BJ62" i="110"/>
  <c r="Y104" i="91"/>
  <c r="BN61" i="110" s="1"/>
  <c r="BJ76" i="110"/>
  <c r="W118" i="91"/>
  <c r="BL75" i="110" s="1"/>
  <c r="BI62" i="110"/>
  <c r="AA118" i="91"/>
  <c r="BP75" i="110" s="1"/>
  <c r="BP62" i="110"/>
  <c r="BP34" i="110"/>
  <c r="AB104" i="91"/>
  <c r="BQ61" i="110" s="1"/>
  <c r="BQ48" i="110"/>
  <c r="AB76" i="91"/>
  <c r="BQ33" i="110" s="1"/>
  <c r="AB61" i="91"/>
  <c r="BQ20" i="110" s="1"/>
  <c r="V118" i="91"/>
  <c r="BK75" i="110" s="1"/>
  <c r="S104" i="91"/>
  <c r="BH48" i="110"/>
  <c r="S90" i="91"/>
  <c r="BH47" i="110" s="1"/>
  <c r="AB90" i="91"/>
  <c r="BQ47" i="110" s="1"/>
  <c r="AB60" i="91"/>
  <c r="BQ19" i="110" s="1"/>
  <c r="BO76" i="110"/>
  <c r="T118" i="91"/>
  <c r="BI75" i="110" s="1"/>
  <c r="BN62" i="110"/>
  <c r="U104" i="91"/>
  <c r="BJ61" i="110" s="1"/>
  <c r="S118" i="91"/>
  <c r="BM62" i="110"/>
  <c r="Z104" i="91"/>
  <c r="BO61" i="110" s="1"/>
  <c r="AA104" i="91"/>
  <c r="BP61" i="110" s="1"/>
  <c r="BP48" i="110"/>
  <c r="AA76" i="91"/>
  <c r="BP33" i="110" s="1"/>
  <c r="AA61" i="91"/>
  <c r="BP20" i="110" s="1"/>
  <c r="U118" i="91"/>
  <c r="BJ75" i="110" s="1"/>
  <c r="BO62" i="110"/>
  <c r="T104" i="91"/>
  <c r="BI61" i="110" s="1"/>
  <c r="BI76" i="110"/>
  <c r="BN76" i="110"/>
  <c r="V104" i="91"/>
  <c r="BK61" i="110" s="1"/>
  <c r="BM76" i="110"/>
  <c r="Z118" i="91"/>
  <c r="BO75" i="110" s="1"/>
  <c r="BL62" i="110"/>
  <c r="W104" i="91"/>
  <c r="BL61" i="110" s="1"/>
  <c r="X104" i="91"/>
  <c r="BM61" i="110" s="1"/>
  <c r="AA90" i="91"/>
  <c r="BP47" i="110" s="1"/>
  <c r="AA60" i="91"/>
  <c r="BP19" i="110" s="1"/>
  <c r="BQ76" i="110"/>
  <c r="BI34" i="110"/>
  <c r="BH34" i="110"/>
  <c r="BJ34" i="110"/>
  <c r="BK74" i="110"/>
  <c r="AA60" i="89"/>
  <c r="Z118" i="89"/>
  <c r="AB118" i="89"/>
  <c r="Y118" i="89"/>
  <c r="X104" i="89"/>
  <c r="X118" i="89"/>
  <c r="S104" i="89"/>
  <c r="AA118" i="89"/>
  <c r="AB104" i="89"/>
  <c r="W118" i="89"/>
  <c r="Z104" i="89"/>
  <c r="AB90" i="89"/>
  <c r="AB76" i="89"/>
  <c r="AB61" i="89"/>
  <c r="U118" i="89"/>
  <c r="S118" i="89"/>
  <c r="T104" i="89"/>
  <c r="T118" i="89"/>
  <c r="AT48" i="110"/>
  <c r="Y104" i="89"/>
  <c r="S90" i="89"/>
  <c r="AT47" i="110" s="1"/>
  <c r="AA104" i="89"/>
  <c r="V118" i="89"/>
  <c r="U104" i="89"/>
  <c r="AB60" i="89"/>
  <c r="V104" i="89"/>
  <c r="W104" i="89"/>
  <c r="AA90" i="89"/>
  <c r="AA76" i="89"/>
  <c r="AA61" i="89"/>
  <c r="AT34" i="110"/>
  <c r="AV34" i="110"/>
  <c r="AU34" i="110"/>
  <c r="V121" i="93"/>
  <c r="CB73" i="110"/>
  <c r="BX73" i="110"/>
  <c r="CC73" i="110"/>
  <c r="CD45" i="110"/>
  <c r="BZ73" i="110"/>
  <c r="CE73" i="110"/>
  <c r="CA73" i="110"/>
  <c r="CE45" i="110"/>
  <c r="BV73" i="110"/>
  <c r="BW73" i="110"/>
  <c r="CD73" i="110"/>
  <c r="BZ74" i="110"/>
  <c r="R116" i="87"/>
  <c r="R116" i="89"/>
  <c r="AB120" i="93"/>
  <c r="CE77" i="110" s="1"/>
  <c r="CB74" i="110"/>
  <c r="CF41" i="110"/>
  <c r="BR41" i="110"/>
  <c r="BD41" i="110"/>
  <c r="CD46" i="110"/>
  <c r="BV74" i="110"/>
  <c r="CA74" i="110"/>
  <c r="AN50" i="110"/>
  <c r="AO50" i="110"/>
  <c r="BX74" i="110"/>
  <c r="CD74" i="110"/>
  <c r="CE46" i="110"/>
  <c r="BW74" i="110"/>
  <c r="CC74" i="110"/>
  <c r="M5" i="106"/>
  <c r="M19" i="106" s="1"/>
  <c r="M33" i="106" s="1"/>
  <c r="M47" i="106" s="1"/>
  <c r="M61" i="106" s="1"/>
  <c r="L19" i="106"/>
  <c r="L33" i="106" s="1"/>
  <c r="L47" i="106" s="1"/>
  <c r="L61" i="106" s="1"/>
  <c r="CF71" i="110"/>
  <c r="AC116" i="93"/>
  <c r="AC116" i="91"/>
  <c r="BD49" i="110"/>
  <c r="X121" i="87"/>
  <c r="AK78" i="110"/>
  <c r="U121" i="87"/>
  <c r="AH78" i="110"/>
  <c r="BR49" i="110"/>
  <c r="W121" i="87"/>
  <c r="AJ78" i="110"/>
  <c r="BD21" i="110"/>
  <c r="Z121" i="87"/>
  <c r="AM78" i="110"/>
  <c r="BD35" i="110"/>
  <c r="BR21" i="110"/>
  <c r="BR35" i="110"/>
  <c r="Y121" i="87"/>
  <c r="AL78" i="110"/>
  <c r="BR71" i="110"/>
  <c r="T121" i="87"/>
  <c r="AG78" i="110"/>
  <c r="V121" i="87"/>
  <c r="AI78" i="110"/>
  <c r="AA121" i="87"/>
  <c r="AN78" i="110"/>
  <c r="AB121" i="87"/>
  <c r="AO78" i="110"/>
  <c r="AF78" i="110"/>
  <c r="AB33" i="110"/>
  <c r="AB47" i="110"/>
  <c r="AB34" i="110"/>
  <c r="AB48" i="110"/>
  <c r="BQ12" i="110"/>
  <c r="BQ26" i="110" s="1"/>
  <c r="BQ40" i="110" s="1"/>
  <c r="BQ54" i="110" s="1"/>
  <c r="BQ68" i="110" s="1"/>
  <c r="BP26" i="110"/>
  <c r="BP40" i="110" s="1"/>
  <c r="BP54" i="110" s="1"/>
  <c r="BP68" i="110" s="1"/>
  <c r="AC84" i="93"/>
  <c r="R84" i="93" s="1"/>
  <c r="AC84" i="91"/>
  <c r="R84" i="91" s="1"/>
  <c r="AC84" i="89"/>
  <c r="R84" i="89" s="1"/>
  <c r="AC90" i="28"/>
  <c r="R90" i="28" s="1"/>
  <c r="AC76" i="28"/>
  <c r="R76" i="28" s="1"/>
  <c r="AC91" i="28"/>
  <c r="R91" i="28" s="1"/>
  <c r="AC77" i="28"/>
  <c r="R77" i="28" s="1"/>
  <c r="AB93" i="87"/>
  <c r="AA93" i="87"/>
  <c r="AC92" i="91"/>
  <c r="R92" i="91" s="1"/>
  <c r="AC62" i="91"/>
  <c r="R62" i="91" s="1"/>
  <c r="AC78" i="91"/>
  <c r="R78" i="91" s="1"/>
  <c r="AC62" i="89"/>
  <c r="R62" i="89" s="1"/>
  <c r="AC78" i="89"/>
  <c r="R78" i="89" s="1"/>
  <c r="AC92" i="89"/>
  <c r="R92" i="89" s="1"/>
  <c r="AC117" i="87"/>
  <c r="R117" i="87" s="1"/>
  <c r="S121" i="87"/>
  <c r="R20" i="110"/>
  <c r="BR73" i="110" l="1"/>
  <c r="BQ74" i="110"/>
  <c r="BQ78" i="110" s="1"/>
  <c r="BL74" i="110"/>
  <c r="BL78" i="110" s="1"/>
  <c r="BN74" i="110"/>
  <c r="BN78" i="110" s="1"/>
  <c r="BO74" i="110"/>
  <c r="BO78" i="110" s="1"/>
  <c r="BK78" i="110"/>
  <c r="V121" i="91"/>
  <c r="BJ74" i="110"/>
  <c r="BJ78" i="110" s="1"/>
  <c r="BM74" i="110"/>
  <c r="BM78" i="110" s="1"/>
  <c r="AB93" i="91"/>
  <c r="BI74" i="110"/>
  <c r="BI78" i="110" s="1"/>
  <c r="BP74" i="110"/>
  <c r="BP78" i="110" s="1"/>
  <c r="BP46" i="110"/>
  <c r="BP50" i="110" s="1"/>
  <c r="BH74" i="110"/>
  <c r="BA62" i="110"/>
  <c r="K55" i="106"/>
  <c r="K62" i="110" s="1"/>
  <c r="AV62" i="110"/>
  <c r="F55" i="106"/>
  <c r="F62" i="110" s="1"/>
  <c r="BC75" i="110"/>
  <c r="M68" i="106"/>
  <c r="M75" i="110" s="1"/>
  <c r="BC76" i="110"/>
  <c r="M69" i="106"/>
  <c r="M76" i="110" s="1"/>
  <c r="BC19" i="110"/>
  <c r="M12" i="106"/>
  <c r="M19" i="110" s="1"/>
  <c r="AT75" i="110"/>
  <c r="AC118" i="89"/>
  <c r="R118" i="89" s="1"/>
  <c r="D68" i="106"/>
  <c r="AX75" i="110"/>
  <c r="H68" i="106"/>
  <c r="H75" i="110" s="1"/>
  <c r="AT61" i="110"/>
  <c r="AC104" i="89"/>
  <c r="R104" i="89" s="1"/>
  <c r="D54" i="106"/>
  <c r="AX62" i="110"/>
  <c r="H55" i="106"/>
  <c r="H62" i="110" s="1"/>
  <c r="BB62" i="110"/>
  <c r="L55" i="106"/>
  <c r="L62" i="110" s="1"/>
  <c r="BA76" i="110"/>
  <c r="K69" i="106"/>
  <c r="K76" i="110" s="1"/>
  <c r="BB61" i="110"/>
  <c r="L54" i="106"/>
  <c r="L61" i="110" s="1"/>
  <c r="AU62" i="110"/>
  <c r="E55" i="106"/>
  <c r="E62" i="110" s="1"/>
  <c r="BB20" i="110"/>
  <c r="L13" i="106"/>
  <c r="L20" i="110" s="1"/>
  <c r="AV61" i="110"/>
  <c r="F54" i="106"/>
  <c r="F61" i="110" s="1"/>
  <c r="AZ61" i="110"/>
  <c r="J54" i="106"/>
  <c r="J61" i="110" s="1"/>
  <c r="AV75" i="110"/>
  <c r="F68" i="106"/>
  <c r="F75" i="110" s="1"/>
  <c r="AW76" i="110"/>
  <c r="G69" i="106"/>
  <c r="G76" i="110" s="1"/>
  <c r="AY75" i="110"/>
  <c r="I68" i="106"/>
  <c r="I75" i="110" s="1"/>
  <c r="BA75" i="110"/>
  <c r="K68" i="106"/>
  <c r="K75" i="110" s="1"/>
  <c r="AU76" i="110"/>
  <c r="E69" i="106"/>
  <c r="E76" i="110" s="1"/>
  <c r="AT62" i="110"/>
  <c r="AC105" i="89"/>
  <c r="R105" i="89" s="1"/>
  <c r="D55" i="106"/>
  <c r="BC34" i="110"/>
  <c r="M27" i="106"/>
  <c r="M34" i="110" s="1"/>
  <c r="AY61" i="110"/>
  <c r="I54" i="106"/>
  <c r="I61" i="110" s="1"/>
  <c r="AT76" i="110"/>
  <c r="AC119" i="89"/>
  <c r="R119" i="89" s="1"/>
  <c r="D69" i="106"/>
  <c r="BH75" i="110"/>
  <c r="BR75" i="110" s="1"/>
  <c r="AC118" i="91"/>
  <c r="R118" i="91" s="1"/>
  <c r="BC48" i="110"/>
  <c r="M41" i="106"/>
  <c r="M48" i="110" s="1"/>
  <c r="BH62" i="110"/>
  <c r="BR62" i="110" s="1"/>
  <c r="AC105" i="91"/>
  <c r="R105" i="91" s="1"/>
  <c r="BH76" i="110"/>
  <c r="BR76" i="110" s="1"/>
  <c r="AC119" i="91"/>
  <c r="R119" i="91" s="1"/>
  <c r="BB33" i="110"/>
  <c r="L26" i="106"/>
  <c r="L33" i="110" s="1"/>
  <c r="BB47" i="110"/>
  <c r="L40" i="106"/>
  <c r="L47" i="110" s="1"/>
  <c r="AW75" i="110"/>
  <c r="G68" i="106"/>
  <c r="G75" i="110" s="1"/>
  <c r="AY62" i="110"/>
  <c r="I55" i="106"/>
  <c r="I62" i="110" s="1"/>
  <c r="BC20" i="110"/>
  <c r="M13" i="106"/>
  <c r="M20" i="110" s="1"/>
  <c r="AW62" i="110"/>
  <c r="G55" i="106"/>
  <c r="G62" i="110" s="1"/>
  <c r="AZ76" i="110"/>
  <c r="J69" i="106"/>
  <c r="J76" i="110" s="1"/>
  <c r="AX76" i="110"/>
  <c r="H69" i="106"/>
  <c r="H76" i="110" s="1"/>
  <c r="AV76" i="110"/>
  <c r="F69" i="106"/>
  <c r="F76" i="110" s="1"/>
  <c r="AZ62" i="110"/>
  <c r="J55" i="106"/>
  <c r="J62" i="110" s="1"/>
  <c r="BC33" i="110"/>
  <c r="M26" i="106"/>
  <c r="M33" i="110" s="1"/>
  <c r="BC61" i="110"/>
  <c r="M54" i="106"/>
  <c r="M61" i="110" s="1"/>
  <c r="AZ75" i="110"/>
  <c r="J68" i="106"/>
  <c r="J75" i="110" s="1"/>
  <c r="BB19" i="110"/>
  <c r="L12" i="106"/>
  <c r="L19" i="110" s="1"/>
  <c r="BH61" i="110"/>
  <c r="BR61" i="110" s="1"/>
  <c r="AC104" i="91"/>
  <c r="R104" i="91" s="1"/>
  <c r="BB34" i="110"/>
  <c r="L27" i="106"/>
  <c r="L34" i="110" s="1"/>
  <c r="AU75" i="110"/>
  <c r="E68" i="106"/>
  <c r="E75" i="110" s="1"/>
  <c r="BC47" i="110"/>
  <c r="M40" i="106"/>
  <c r="M47" i="110" s="1"/>
  <c r="BB76" i="110"/>
  <c r="L69" i="106"/>
  <c r="L76" i="110" s="1"/>
  <c r="AX61" i="110"/>
  <c r="H54" i="106"/>
  <c r="H61" i="110" s="1"/>
  <c r="AY76" i="110"/>
  <c r="I69" i="106"/>
  <c r="I76" i="110" s="1"/>
  <c r="AW61" i="110"/>
  <c r="G54" i="106"/>
  <c r="G61" i="110" s="1"/>
  <c r="BB48" i="110"/>
  <c r="L41" i="106"/>
  <c r="L48" i="110" s="1"/>
  <c r="AU61" i="110"/>
  <c r="E54" i="106"/>
  <c r="E61" i="110" s="1"/>
  <c r="BA61" i="110"/>
  <c r="K54" i="106"/>
  <c r="K61" i="110" s="1"/>
  <c r="BB75" i="110"/>
  <c r="L68" i="106"/>
  <c r="L75" i="110" s="1"/>
  <c r="BC62" i="110"/>
  <c r="M55" i="106"/>
  <c r="M62" i="110" s="1"/>
  <c r="X120" i="93"/>
  <c r="CA77" i="110" s="1"/>
  <c r="CA78" i="110" s="1"/>
  <c r="AA120" i="93"/>
  <c r="CD77" i="110" s="1"/>
  <c r="CD78" i="110" s="1"/>
  <c r="AA92" i="93"/>
  <c r="CD49" i="110" s="1"/>
  <c r="CD50" i="110" s="1"/>
  <c r="AB92" i="93"/>
  <c r="CE49" i="110" s="1"/>
  <c r="CE50" i="110" s="1"/>
  <c r="CF73" i="110"/>
  <c r="T120" i="93"/>
  <c r="BW77" i="110" s="1"/>
  <c r="BW78" i="110" s="1"/>
  <c r="U120" i="93"/>
  <c r="BX77" i="110" s="1"/>
  <c r="BX78" i="110" s="1"/>
  <c r="Z120" i="93"/>
  <c r="CC77" i="110" s="1"/>
  <c r="CC78" i="110" s="1"/>
  <c r="S120" i="93"/>
  <c r="S121" i="93" s="1"/>
  <c r="W120" i="93"/>
  <c r="Y120" i="93"/>
  <c r="CB77" i="110" s="1"/>
  <c r="CB78" i="110" s="1"/>
  <c r="AB121" i="93"/>
  <c r="CE74" i="110"/>
  <c r="CE78" i="110" s="1"/>
  <c r="R116" i="93"/>
  <c r="R116" i="91"/>
  <c r="AC117" i="93"/>
  <c r="R117" i="93" s="1"/>
  <c r="AP78" i="110"/>
  <c r="AP74" i="110"/>
  <c r="AC121" i="87"/>
  <c r="R121" i="87" s="1"/>
  <c r="AC61" i="28"/>
  <c r="R61" i="28" s="1"/>
  <c r="AB20" i="110"/>
  <c r="Z60" i="28"/>
  <c r="Y19" i="110" s="1"/>
  <c r="Y60" i="28"/>
  <c r="X19" i="110" s="1"/>
  <c r="X60" i="28"/>
  <c r="W19" i="110" s="1"/>
  <c r="W60" i="28"/>
  <c r="V19" i="110" s="1"/>
  <c r="V60" i="28"/>
  <c r="U19" i="110" s="1"/>
  <c r="U60" i="28"/>
  <c r="T19" i="110" s="1"/>
  <c r="T60" i="28"/>
  <c r="S19" i="110" s="1"/>
  <c r="C7" i="104"/>
  <c r="I2" i="107" s="1"/>
  <c r="Y121" i="91" l="1"/>
  <c r="AB121" i="91"/>
  <c r="AA121" i="91"/>
  <c r="S121" i="91"/>
  <c r="Z121" i="91"/>
  <c r="X121" i="91"/>
  <c r="BQ46" i="110"/>
  <c r="BQ50" i="110" s="1"/>
  <c r="W121" i="91"/>
  <c r="U121" i="91"/>
  <c r="AC117" i="91"/>
  <c r="R117" i="91" s="1"/>
  <c r="T121" i="91"/>
  <c r="AA93" i="91"/>
  <c r="BD61" i="110"/>
  <c r="AY74" i="110"/>
  <c r="AY78" i="110" s="1"/>
  <c r="X121" i="89"/>
  <c r="BD76" i="110"/>
  <c r="AT74" i="110"/>
  <c r="AC117" i="89"/>
  <c r="R117" i="89" s="1"/>
  <c r="S121" i="89"/>
  <c r="AV74" i="110"/>
  <c r="AV78" i="110" s="1"/>
  <c r="U121" i="89"/>
  <c r="D75" i="110"/>
  <c r="N75" i="110" s="1"/>
  <c r="N68" i="106"/>
  <c r="BA74" i="110"/>
  <c r="BA78" i="110" s="1"/>
  <c r="Z121" i="89"/>
  <c r="AZ74" i="110"/>
  <c r="AZ78" i="110" s="1"/>
  <c r="Y121" i="89"/>
  <c r="BD62" i="110"/>
  <c r="BC46" i="110"/>
  <c r="BC50" i="110" s="1"/>
  <c r="AB93" i="89"/>
  <c r="BD75" i="110"/>
  <c r="BB46" i="110"/>
  <c r="BB50" i="110" s="1"/>
  <c r="AA93" i="89"/>
  <c r="AW74" i="110"/>
  <c r="AW78" i="110" s="1"/>
  <c r="V121" i="89"/>
  <c r="D62" i="110"/>
  <c r="N62" i="110" s="1"/>
  <c r="N55" i="106"/>
  <c r="D61" i="110"/>
  <c r="N61" i="110" s="1"/>
  <c r="N54" i="106"/>
  <c r="AU74" i="110"/>
  <c r="AU78" i="110" s="1"/>
  <c r="T121" i="89"/>
  <c r="AX74" i="110"/>
  <c r="AX78" i="110" s="1"/>
  <c r="W121" i="89"/>
  <c r="BC74" i="110"/>
  <c r="BC78" i="110" s="1"/>
  <c r="AB121" i="89"/>
  <c r="BH78" i="110"/>
  <c r="BR78" i="110" s="1"/>
  <c r="BB74" i="110"/>
  <c r="BB78" i="110" s="1"/>
  <c r="AA121" i="89"/>
  <c r="D76" i="110"/>
  <c r="N76" i="110" s="1"/>
  <c r="N69" i="106"/>
  <c r="AB93" i="93"/>
  <c r="T121" i="93"/>
  <c r="X121" i="93"/>
  <c r="Z121" i="93"/>
  <c r="AA93" i="93"/>
  <c r="U121" i="93"/>
  <c r="AA121" i="93"/>
  <c r="BZ77" i="110"/>
  <c r="BZ78" i="110" s="1"/>
  <c r="W121" i="93"/>
  <c r="Y121" i="93"/>
  <c r="BV77" i="110"/>
  <c r="AC120" i="93"/>
  <c r="R120" i="93" s="1"/>
  <c r="AB19" i="110"/>
  <c r="CF74" i="110"/>
  <c r="BR74" i="110"/>
  <c r="AC60" i="28"/>
  <c r="R60" i="28" s="1"/>
  <c r="X60" i="89"/>
  <c r="AY19" i="110" s="1"/>
  <c r="AC121" i="91" l="1"/>
  <c r="R121" i="91" s="1"/>
  <c r="AC121" i="89"/>
  <c r="R121" i="89" s="1"/>
  <c r="AT78" i="110"/>
  <c r="BD78" i="110" s="1"/>
  <c r="BD74" i="110"/>
  <c r="AC121" i="93"/>
  <c r="R121" i="93" s="1"/>
  <c r="CF77" i="110"/>
  <c r="BV78" i="110"/>
  <c r="CF78" i="110" s="1"/>
  <c r="AZ25" i="91"/>
  <c r="BI37" i="91"/>
  <c r="BF41" i="91"/>
  <c r="BF35" i="91"/>
  <c r="BF33" i="91"/>
  <c r="BI26" i="91"/>
  <c r="BI20" i="91"/>
  <c r="BF28" i="91"/>
  <c r="BF21" i="91"/>
  <c r="AE24" i="91"/>
  <c r="BF39" i="91"/>
  <c r="BF25" i="91"/>
  <c r="BF38" i="91"/>
  <c r="BI23" i="91"/>
  <c r="BF42" i="91"/>
  <c r="BI21" i="91"/>
  <c r="BI36" i="91"/>
  <c r="BF34" i="91"/>
  <c r="BF27" i="91"/>
  <c r="BI24" i="91"/>
  <c r="BI38" i="91"/>
  <c r="BI35" i="91"/>
  <c r="BI33" i="91"/>
  <c r="BF40" i="91"/>
  <c r="BI25" i="91"/>
  <c r="BF26" i="91"/>
  <c r="BF22" i="91"/>
  <c r="BI42" i="91"/>
  <c r="BI34" i="91"/>
  <c r="BI41" i="91"/>
  <c r="BI40" i="91"/>
  <c r="BF37" i="91"/>
  <c r="BI29" i="91"/>
  <c r="BI22" i="91"/>
  <c r="BF20" i="91"/>
  <c r="BF24" i="91"/>
  <c r="BI39" i="91"/>
  <c r="BI28" i="91"/>
  <c r="BF29" i="91"/>
  <c r="BF23" i="91"/>
  <c r="BF36" i="91"/>
  <c r="BI27" i="91"/>
  <c r="BI45" i="91"/>
  <c r="BF45" i="91"/>
  <c r="AZ25" i="87"/>
  <c r="BI35" i="87"/>
  <c r="BI33" i="87"/>
  <c r="BF39" i="87"/>
  <c r="BI29" i="87"/>
  <c r="BI21" i="87"/>
  <c r="BF24" i="87"/>
  <c r="BF36" i="87"/>
  <c r="BI25" i="87"/>
  <c r="AE24" i="87"/>
  <c r="BI42" i="87"/>
  <c r="BI34" i="87"/>
  <c r="BF38" i="87"/>
  <c r="BI28" i="87"/>
  <c r="BF23" i="87"/>
  <c r="BI26" i="87"/>
  <c r="BF20" i="87"/>
  <c r="BF29" i="87"/>
  <c r="BF21" i="87"/>
  <c r="BF28" i="87"/>
  <c r="BF40" i="87"/>
  <c r="BI22" i="87"/>
  <c r="BF25" i="87"/>
  <c r="BI41" i="87"/>
  <c r="BF37" i="87"/>
  <c r="BI27" i="87"/>
  <c r="BF22" i="87"/>
  <c r="BI40" i="87"/>
  <c r="BI39" i="87"/>
  <c r="BF35" i="87"/>
  <c r="BI38" i="87"/>
  <c r="BF42" i="87"/>
  <c r="BF34" i="87"/>
  <c r="BI24" i="87"/>
  <c r="BF27" i="87"/>
  <c r="BI37" i="87"/>
  <c r="BF41" i="87"/>
  <c r="BF33" i="87"/>
  <c r="BI23" i="87"/>
  <c r="BI20" i="87"/>
  <c r="BF26" i="87"/>
  <c r="BI36" i="87"/>
  <c r="BF45" i="87"/>
  <c r="BI45" i="87"/>
  <c r="AZ25" i="89"/>
  <c r="BI36" i="89"/>
  <c r="BF40" i="89"/>
  <c r="BI24" i="89"/>
  <c r="BF25" i="89"/>
  <c r="BI28" i="89"/>
  <c r="BF29" i="89"/>
  <c r="BI37" i="89"/>
  <c r="BI35" i="89"/>
  <c r="BI33" i="89"/>
  <c r="BF39" i="89"/>
  <c r="BI29" i="89"/>
  <c r="BI23" i="89"/>
  <c r="BF24" i="89"/>
  <c r="BF37" i="89"/>
  <c r="BF23" i="89"/>
  <c r="BF36" i="89"/>
  <c r="BI27" i="89"/>
  <c r="AE24" i="89"/>
  <c r="BI42" i="89"/>
  <c r="BI34" i="89"/>
  <c r="BF38" i="89"/>
  <c r="BI22" i="89"/>
  <c r="BI21" i="89"/>
  <c r="BF20" i="89"/>
  <c r="BF22" i="89"/>
  <c r="BI20" i="89"/>
  <c r="BI41" i="89"/>
  <c r="BI40" i="89"/>
  <c r="BF41" i="89"/>
  <c r="BF33" i="89"/>
  <c r="BI39" i="89"/>
  <c r="BF35" i="89"/>
  <c r="BI26" i="89"/>
  <c r="BF28" i="89"/>
  <c r="BF21" i="89"/>
  <c r="BI38" i="89"/>
  <c r="BF42" i="89"/>
  <c r="BF34" i="89"/>
  <c r="BI25" i="89"/>
  <c r="BF27" i="89"/>
  <c r="BF26" i="89"/>
  <c r="BF45" i="89"/>
  <c r="BI45" i="89"/>
  <c r="AZ25" i="93"/>
  <c r="BI38" i="93"/>
  <c r="BF37" i="93"/>
  <c r="BI29" i="93"/>
  <c r="BF24" i="93"/>
  <c r="BI33" i="93"/>
  <c r="BF35" i="93"/>
  <c r="BF28" i="93"/>
  <c r="BF34" i="93"/>
  <c r="BF21" i="93"/>
  <c r="BF38" i="93"/>
  <c r="BI37" i="93"/>
  <c r="BF33" i="93"/>
  <c r="BI28" i="93"/>
  <c r="BI22" i="93"/>
  <c r="BI20" i="93"/>
  <c r="BF23" i="93"/>
  <c r="AE24" i="93"/>
  <c r="BF41" i="93"/>
  <c r="BI23" i="93"/>
  <c r="BF25" i="93"/>
  <c r="BI36" i="93"/>
  <c r="BF42" i="93"/>
  <c r="BF36" i="93"/>
  <c r="BI27" i="93"/>
  <c r="BI21" i="93"/>
  <c r="BF29" i="93"/>
  <c r="BF22" i="93"/>
  <c r="BI26" i="93"/>
  <c r="BF27" i="93"/>
  <c r="BI35" i="93"/>
  <c r="BI42" i="93"/>
  <c r="BI34" i="93"/>
  <c r="BI39" i="93"/>
  <c r="BI41" i="93"/>
  <c r="BF40" i="93"/>
  <c r="BI25" i="93"/>
  <c r="BF26" i="93"/>
  <c r="BI40" i="93"/>
  <c r="BF39" i="93"/>
  <c r="BI24" i="93"/>
  <c r="BF20" i="93"/>
  <c r="BF45" i="93"/>
  <c r="BI45" i="93"/>
  <c r="Z60" i="89"/>
  <c r="BA19" i="110" s="1"/>
  <c r="Z60" i="93"/>
  <c r="CC19" i="110" s="1"/>
  <c r="U90" i="93"/>
  <c r="BX47" i="110" s="1"/>
  <c r="T90" i="93"/>
  <c r="BW47" i="110" s="1"/>
  <c r="Y60" i="89"/>
  <c r="AZ19" i="110" s="1"/>
  <c r="T90" i="89"/>
  <c r="AU47" i="110" s="1"/>
  <c r="U90" i="89"/>
  <c r="AV47" i="110" s="1"/>
  <c r="Z60" i="91"/>
  <c r="BO19" i="110" s="1"/>
  <c r="T90" i="91"/>
  <c r="BI47" i="110" s="1"/>
  <c r="U90" i="91"/>
  <c r="BJ47" i="110" s="1"/>
  <c r="Y60" i="87"/>
  <c r="AL19" i="110" s="1"/>
  <c r="U90" i="87"/>
  <c r="AH47" i="110" s="1"/>
  <c r="T90" i="87"/>
  <c r="AG47" i="110" s="1"/>
  <c r="V60" i="87"/>
  <c r="AI19" i="110" s="1"/>
  <c r="W60" i="87"/>
  <c r="AJ19" i="110" s="1"/>
  <c r="U60" i="89"/>
  <c r="AV19" i="110" s="1"/>
  <c r="T60" i="89"/>
  <c r="AU19" i="110" s="1"/>
  <c r="V60" i="89"/>
  <c r="AW19" i="110" s="1"/>
  <c r="W60" i="89"/>
  <c r="AX19" i="110" s="1"/>
  <c r="U60" i="93"/>
  <c r="BX19" i="110" s="1"/>
  <c r="V60" i="93"/>
  <c r="BY19" i="110" s="1"/>
  <c r="Y60" i="93"/>
  <c r="CB19" i="110" s="1"/>
  <c r="W60" i="93"/>
  <c r="BZ19" i="110" s="1"/>
  <c r="X60" i="93"/>
  <c r="CA19" i="110" s="1"/>
  <c r="T60" i="93"/>
  <c r="BW19" i="110" s="1"/>
  <c r="U60" i="91"/>
  <c r="BJ19" i="110" s="1"/>
  <c r="T60" i="87"/>
  <c r="AG19" i="110" s="1"/>
  <c r="Z60" i="87"/>
  <c r="AM19" i="110" s="1"/>
  <c r="BL48" i="110"/>
  <c r="U61" i="91"/>
  <c r="BJ20" i="110" s="1"/>
  <c r="BM48" i="110"/>
  <c r="T61" i="91"/>
  <c r="BI20" i="110" s="1"/>
  <c r="BK48" i="110"/>
  <c r="V61" i="91"/>
  <c r="BK20" i="110" s="1"/>
  <c r="BN34" i="110"/>
  <c r="BJ48" i="110"/>
  <c r="W61" i="91"/>
  <c r="BL20" i="110" s="1"/>
  <c r="BM34" i="110"/>
  <c r="BN48" i="110"/>
  <c r="BK34" i="110"/>
  <c r="BI48" i="110"/>
  <c r="X61" i="91"/>
  <c r="BM20" i="110" s="1"/>
  <c r="Y61" i="91"/>
  <c r="BN20" i="110" s="1"/>
  <c r="BO34" i="110"/>
  <c r="Z61" i="91"/>
  <c r="BO20" i="110" s="1"/>
  <c r="BO48" i="110"/>
  <c r="Y76" i="91"/>
  <c r="BN33" i="110" s="1"/>
  <c r="S76" i="91"/>
  <c r="BH33" i="110" s="1"/>
  <c r="X76" i="91"/>
  <c r="BM33" i="110" s="1"/>
  <c r="Z90" i="91"/>
  <c r="BO47" i="110" s="1"/>
  <c r="W76" i="91"/>
  <c r="BL33" i="110" s="1"/>
  <c r="Y90" i="91"/>
  <c r="BN47" i="110" s="1"/>
  <c r="V76" i="91"/>
  <c r="BK33" i="110" s="1"/>
  <c r="W90" i="91"/>
  <c r="BL47" i="110" s="1"/>
  <c r="V90" i="91"/>
  <c r="BK47" i="110" s="1"/>
  <c r="X90" i="91"/>
  <c r="BM47" i="110" s="1"/>
  <c r="U76" i="91"/>
  <c r="BJ33" i="110" s="1"/>
  <c r="BL34" i="110"/>
  <c r="Z76" i="91"/>
  <c r="BO33" i="110" s="1"/>
  <c r="T76" i="91"/>
  <c r="BI33" i="110" s="1"/>
  <c r="S60" i="91"/>
  <c r="BH19" i="110" s="1"/>
  <c r="Y60" i="91"/>
  <c r="BN19" i="110" s="1"/>
  <c r="U60" i="87"/>
  <c r="AH19" i="110" s="1"/>
  <c r="X60" i="87"/>
  <c r="AK19" i="110" s="1"/>
  <c r="T60" i="91"/>
  <c r="BI19" i="110" s="1"/>
  <c r="AX34" i="110"/>
  <c r="T61" i="89"/>
  <c r="AU20" i="110" s="1"/>
  <c r="Z61" i="89"/>
  <c r="BA20" i="110" s="1"/>
  <c r="AW34" i="110"/>
  <c r="U61" i="89"/>
  <c r="AV20" i="110" s="1"/>
  <c r="AU48" i="110"/>
  <c r="BA48" i="110"/>
  <c r="V61" i="89"/>
  <c r="AW20" i="110" s="1"/>
  <c r="X61" i="89"/>
  <c r="AY20" i="110" s="1"/>
  <c r="AW48" i="110"/>
  <c r="AV48" i="110"/>
  <c r="AY48" i="110"/>
  <c r="W61" i="89"/>
  <c r="AX20" i="110" s="1"/>
  <c r="Y61" i="89"/>
  <c r="AZ20" i="110" s="1"/>
  <c r="AZ48" i="110"/>
  <c r="AX48" i="110"/>
  <c r="BA34" i="110"/>
  <c r="AZ34" i="110"/>
  <c r="V90" i="89"/>
  <c r="AW47" i="110" s="1"/>
  <c r="S76" i="89"/>
  <c r="AT33" i="110" s="1"/>
  <c r="Z76" i="89"/>
  <c r="BA33" i="110" s="1"/>
  <c r="Y76" i="89"/>
  <c r="AZ33" i="110" s="1"/>
  <c r="T76" i="89"/>
  <c r="AU33" i="110" s="1"/>
  <c r="X76" i="89"/>
  <c r="AY33" i="110" s="1"/>
  <c r="S60" i="89"/>
  <c r="AT19" i="110" s="1"/>
  <c r="W90" i="89"/>
  <c r="AX47" i="110" s="1"/>
  <c r="Z90" i="89"/>
  <c r="BA47" i="110" s="1"/>
  <c r="W76" i="89"/>
  <c r="AX33" i="110" s="1"/>
  <c r="Y90" i="89"/>
  <c r="AZ47" i="110" s="1"/>
  <c r="V76" i="89"/>
  <c r="AW33" i="110" s="1"/>
  <c r="X90" i="89"/>
  <c r="AY47" i="110" s="1"/>
  <c r="U76" i="89"/>
  <c r="AV33" i="110" s="1"/>
  <c r="AY34" i="110"/>
  <c r="CB48" i="110"/>
  <c r="U61" i="93"/>
  <c r="BX20" i="110" s="1"/>
  <c r="BZ48" i="110"/>
  <c r="CC48" i="110"/>
  <c r="CA34" i="110"/>
  <c r="X76" i="93"/>
  <c r="CA33" i="110" s="1"/>
  <c r="BY48" i="110"/>
  <c r="BW48" i="110"/>
  <c r="Z90" i="93"/>
  <c r="CC47" i="110" s="1"/>
  <c r="W76" i="93"/>
  <c r="BZ33" i="110" s="1"/>
  <c r="V90" i="93"/>
  <c r="BY47" i="110" s="1"/>
  <c r="S60" i="93"/>
  <c r="BV19" i="110" s="1"/>
  <c r="BY34" i="110"/>
  <c r="X61" i="93"/>
  <c r="CA20" i="110" s="1"/>
  <c r="Z61" i="93"/>
  <c r="CC20" i="110" s="1"/>
  <c r="Y90" i="93"/>
  <c r="CB47" i="110" s="1"/>
  <c r="S76" i="93"/>
  <c r="BV33" i="110" s="1"/>
  <c r="V76" i="93"/>
  <c r="BY33" i="110" s="1"/>
  <c r="T61" i="93"/>
  <c r="BW20" i="110" s="1"/>
  <c r="S61" i="93"/>
  <c r="BV20" i="110" s="1"/>
  <c r="CC34" i="110"/>
  <c r="V61" i="93"/>
  <c r="BY20" i="110" s="1"/>
  <c r="CB34" i="110"/>
  <c r="X90" i="93"/>
  <c r="CA47" i="110" s="1"/>
  <c r="U76" i="93"/>
  <c r="BX33" i="110" s="1"/>
  <c r="CA48" i="110"/>
  <c r="Y76" i="93"/>
  <c r="CB33" i="110" s="1"/>
  <c r="BX48" i="110"/>
  <c r="Y61" i="93"/>
  <c r="CB20" i="110" s="1"/>
  <c r="W90" i="93"/>
  <c r="BZ47" i="110" s="1"/>
  <c r="T76" i="93"/>
  <c r="BW33" i="110" s="1"/>
  <c r="Z76" i="93"/>
  <c r="CC33" i="110" s="1"/>
  <c r="W61" i="93"/>
  <c r="BZ20" i="110" s="1"/>
  <c r="BZ34" i="110"/>
  <c r="W60" i="91"/>
  <c r="BL19" i="110" s="1"/>
  <c r="V60" i="91"/>
  <c r="BK19" i="110" s="1"/>
  <c r="X60" i="91"/>
  <c r="BM19" i="110" s="1"/>
  <c r="AH48" i="110"/>
  <c r="AM34" i="110"/>
  <c r="AG48" i="110"/>
  <c r="S61" i="87"/>
  <c r="AF20" i="110" s="1"/>
  <c r="AK34" i="110"/>
  <c r="T61" i="87"/>
  <c r="AG20" i="110" s="1"/>
  <c r="U61" i="87"/>
  <c r="AH20" i="110" s="1"/>
  <c r="AM48" i="110"/>
  <c r="Y61" i="87"/>
  <c r="AL20" i="110" s="1"/>
  <c r="AJ34" i="110"/>
  <c r="X61" i="87"/>
  <c r="AK20" i="110" s="1"/>
  <c r="Z61" i="87"/>
  <c r="AM20" i="110" s="1"/>
  <c r="AI34" i="110"/>
  <c r="V61" i="87"/>
  <c r="AI20" i="110" s="1"/>
  <c r="AJ48" i="110"/>
  <c r="W61" i="87"/>
  <c r="AJ20" i="110" s="1"/>
  <c r="AL34" i="110"/>
  <c r="W90" i="87"/>
  <c r="AJ47" i="110" s="1"/>
  <c r="S76" i="87"/>
  <c r="AF33" i="110" s="1"/>
  <c r="AK48" i="110"/>
  <c r="V90" i="87"/>
  <c r="AI47" i="110" s="1"/>
  <c r="AL48" i="110"/>
  <c r="Z76" i="87"/>
  <c r="AM33" i="110" s="1"/>
  <c r="Y90" i="87"/>
  <c r="AL47" i="110" s="1"/>
  <c r="T76" i="87"/>
  <c r="AG33" i="110" s="1"/>
  <c r="Y76" i="87"/>
  <c r="AL33" i="110" s="1"/>
  <c r="X76" i="87"/>
  <c r="AK33" i="110" s="1"/>
  <c r="AI48" i="110"/>
  <c r="V76" i="87"/>
  <c r="AI33" i="110" s="1"/>
  <c r="Z90" i="87"/>
  <c r="AM47" i="110" s="1"/>
  <c r="W76" i="87"/>
  <c r="AJ33" i="110" s="1"/>
  <c r="S60" i="87"/>
  <c r="AF19" i="110" s="1"/>
  <c r="X90" i="87"/>
  <c r="AK47" i="110" s="1"/>
  <c r="U76" i="87"/>
  <c r="AH33" i="110" s="1"/>
  <c r="BR33" i="110" l="1"/>
  <c r="AC76" i="91"/>
  <c r="R76" i="91" s="1"/>
  <c r="BR34" i="110"/>
  <c r="AC77" i="91"/>
  <c r="R77" i="91" s="1"/>
  <c r="AP19" i="110"/>
  <c r="AC60" i="87"/>
  <c r="R60" i="87" s="1"/>
  <c r="CF34" i="110"/>
  <c r="AC77" i="93"/>
  <c r="R77" i="93" s="1"/>
  <c r="BD48" i="110"/>
  <c r="AC91" i="89"/>
  <c r="R91" i="89" s="1"/>
  <c r="CF20" i="110"/>
  <c r="AC61" i="93"/>
  <c r="R61" i="93" s="1"/>
  <c r="CF19" i="110"/>
  <c r="AC60" i="93"/>
  <c r="R60" i="93" s="1"/>
  <c r="BD47" i="110"/>
  <c r="AC90" i="89"/>
  <c r="R90" i="89" s="1"/>
  <c r="BD33" i="110"/>
  <c r="AC76" i="89"/>
  <c r="R76" i="89" s="1"/>
  <c r="BD34" i="110"/>
  <c r="AC77" i="89"/>
  <c r="R77" i="89" s="1"/>
  <c r="BR19" i="110"/>
  <c r="AC60" i="91"/>
  <c r="R60" i="91" s="1"/>
  <c r="AP47" i="110"/>
  <c r="AC90" i="87"/>
  <c r="R90" i="87" s="1"/>
  <c r="CF47" i="110"/>
  <c r="AC90" i="93"/>
  <c r="R90" i="93" s="1"/>
  <c r="AP34" i="110"/>
  <c r="AC77" i="87"/>
  <c r="R77" i="87" s="1"/>
  <c r="AP20" i="110"/>
  <c r="AC61" i="87"/>
  <c r="R61" i="87" s="1"/>
  <c r="CF33" i="110"/>
  <c r="AC76" i="93"/>
  <c r="R76" i="93" s="1"/>
  <c r="AP33" i="110"/>
  <c r="AC76" i="87"/>
  <c r="R76" i="87" s="1"/>
  <c r="AP48" i="110"/>
  <c r="AC91" i="87"/>
  <c r="R91" i="87" s="1"/>
  <c r="CF48" i="110"/>
  <c r="AC91" i="93"/>
  <c r="R91" i="93" s="1"/>
  <c r="BD19" i="110"/>
  <c r="AC60" i="89"/>
  <c r="R60" i="89" s="1"/>
  <c r="BR48" i="110"/>
  <c r="AC91" i="91"/>
  <c r="R91" i="91" s="1"/>
  <c r="BR47" i="110"/>
  <c r="AC90" i="91"/>
  <c r="R90" i="91" s="1"/>
  <c r="BI30" i="87"/>
  <c r="BI30" i="91"/>
  <c r="BI30" i="93"/>
  <c r="BI30" i="89"/>
  <c r="BF30" i="91"/>
  <c r="BF30" i="93"/>
  <c r="BF30" i="89"/>
  <c r="BF30" i="87"/>
  <c r="S61" i="89"/>
  <c r="AT20" i="110" s="1"/>
  <c r="S61" i="91"/>
  <c r="BH20" i="110" s="1"/>
  <c r="J12" i="106"/>
  <c r="J19" i="110" s="1"/>
  <c r="K12" i="106"/>
  <c r="K19" i="110" s="1"/>
  <c r="G12" i="106"/>
  <c r="G19" i="110" s="1"/>
  <c r="I12" i="106"/>
  <c r="I19" i="110" s="1"/>
  <c r="H12" i="106"/>
  <c r="H19" i="110" s="1"/>
  <c r="E40" i="106"/>
  <c r="E47" i="110" s="1"/>
  <c r="F41" i="106"/>
  <c r="F48" i="110" s="1"/>
  <c r="F12" i="106"/>
  <c r="F19" i="110" s="1"/>
  <c r="E13" i="106"/>
  <c r="E20" i="110" s="1"/>
  <c r="F26" i="106"/>
  <c r="F33" i="110" s="1"/>
  <c r="G40" i="106"/>
  <c r="G47" i="110" s="1"/>
  <c r="J13" i="106"/>
  <c r="J20" i="110" s="1"/>
  <c r="J26" i="106"/>
  <c r="J33" i="110" s="1"/>
  <c r="K41" i="106"/>
  <c r="K48" i="110" s="1"/>
  <c r="D12" i="106"/>
  <c r="D19" i="110" s="1"/>
  <c r="K26" i="106"/>
  <c r="K33" i="110" s="1"/>
  <c r="K13" i="106"/>
  <c r="K20" i="110" s="1"/>
  <c r="E12" i="106"/>
  <c r="E19" i="110" s="1"/>
  <c r="I26" i="106"/>
  <c r="I33" i="110" s="1"/>
  <c r="G13" i="106"/>
  <c r="G20" i="110" s="1"/>
  <c r="F13" i="106"/>
  <c r="F20" i="110" s="1"/>
  <c r="G41" i="106"/>
  <c r="G48" i="110" s="1"/>
  <c r="F40" i="106"/>
  <c r="F47" i="110" s="1"/>
  <c r="E27" i="106"/>
  <c r="E34" i="110" s="1"/>
  <c r="I13" i="106"/>
  <c r="I20" i="110" s="1"/>
  <c r="E41" i="106"/>
  <c r="E48" i="110" s="1"/>
  <c r="J41" i="106"/>
  <c r="J48" i="110" s="1"/>
  <c r="H13" i="106"/>
  <c r="H20" i="110" s="1"/>
  <c r="H27" i="106"/>
  <c r="H34" i="110" s="1"/>
  <c r="K27" i="106"/>
  <c r="K34" i="110" s="1"/>
  <c r="D27" i="106"/>
  <c r="D34" i="110" s="1"/>
  <c r="D26" i="106"/>
  <c r="D33" i="110" s="1"/>
  <c r="F27" i="106"/>
  <c r="F34" i="110" s="1"/>
  <c r="D40" i="106"/>
  <c r="D47" i="110" s="1"/>
  <c r="I41" i="106"/>
  <c r="I48" i="110" s="1"/>
  <c r="H26" i="106"/>
  <c r="H33" i="110" s="1"/>
  <c r="E26" i="106"/>
  <c r="E33" i="110" s="1"/>
  <c r="H40" i="106"/>
  <c r="H47" i="110" s="1"/>
  <c r="I40" i="106"/>
  <c r="I47" i="110" s="1"/>
  <c r="K40" i="106"/>
  <c r="K47" i="110" s="1"/>
  <c r="J40" i="106"/>
  <c r="J47" i="110" s="1"/>
  <c r="J27" i="106"/>
  <c r="J34" i="110" s="1"/>
  <c r="G27" i="106"/>
  <c r="G34" i="110" s="1"/>
  <c r="I27" i="106"/>
  <c r="I34" i="110" s="1"/>
  <c r="H41" i="106"/>
  <c r="H48" i="110" s="1"/>
  <c r="G26" i="106"/>
  <c r="G33" i="110" s="1"/>
  <c r="D41" i="106"/>
  <c r="D48" i="110" s="1"/>
  <c r="B38" i="46"/>
  <c r="BR20" i="110" l="1"/>
  <c r="AC61" i="91"/>
  <c r="R61" i="91" s="1"/>
  <c r="BD20" i="110"/>
  <c r="AC61" i="89"/>
  <c r="R61" i="89" s="1"/>
  <c r="N19" i="110"/>
  <c r="N47" i="110"/>
  <c r="N33" i="110"/>
  <c r="N48" i="110"/>
  <c r="N34" i="110"/>
  <c r="N26" i="106"/>
  <c r="N12" i="106"/>
  <c r="N27" i="106"/>
  <c r="D13" i="106"/>
  <c r="D20" i="110" s="1"/>
  <c r="N41" i="106"/>
  <c r="N40" i="106"/>
  <c r="N13" i="106" l="1"/>
  <c r="N20" i="110"/>
  <c r="AM44" i="110" l="1"/>
  <c r="AL44" i="110"/>
  <c r="AK44" i="110"/>
  <c r="AJ44" i="110"/>
  <c r="AI44" i="110"/>
  <c r="AH44" i="110"/>
  <c r="AG44" i="110"/>
  <c r="BA44" i="110"/>
  <c r="AZ44" i="110"/>
  <c r="AY44" i="110"/>
  <c r="AX44" i="110"/>
  <c r="AW44" i="110"/>
  <c r="AV44" i="110"/>
  <c r="AU44" i="110"/>
  <c r="BO44" i="110"/>
  <c r="BN44" i="110"/>
  <c r="BM44" i="110"/>
  <c r="BL44" i="110"/>
  <c r="BK44" i="110"/>
  <c r="BJ44" i="110"/>
  <c r="BI44" i="110"/>
  <c r="CC44" i="110"/>
  <c r="CB44" i="110"/>
  <c r="CA44" i="110"/>
  <c r="BZ44" i="110"/>
  <c r="BY44" i="110"/>
  <c r="BX44" i="110"/>
  <c r="BW44" i="110"/>
  <c r="AF44" i="110"/>
  <c r="AT44" i="110"/>
  <c r="BH44" i="110"/>
  <c r="BV44" i="110"/>
  <c r="Z85" i="89"/>
  <c r="BA42" i="110" s="1"/>
  <c r="Y85" i="89"/>
  <c r="AZ42" i="110" s="1"/>
  <c r="X85" i="89"/>
  <c r="AY42" i="110" s="1"/>
  <c r="W85" i="89"/>
  <c r="AX42" i="110" s="1"/>
  <c r="V85" i="89"/>
  <c r="AW42" i="110" s="1"/>
  <c r="U85" i="89"/>
  <c r="AV42" i="110" s="1"/>
  <c r="T85" i="89"/>
  <c r="AU42" i="110" s="1"/>
  <c r="Z85" i="91"/>
  <c r="BO42" i="110" s="1"/>
  <c r="Y85" i="91"/>
  <c r="BN42" i="110" s="1"/>
  <c r="X85" i="91"/>
  <c r="BM42" i="110" s="1"/>
  <c r="W85" i="91"/>
  <c r="BL42" i="110" s="1"/>
  <c r="V85" i="91"/>
  <c r="BK42" i="110" s="1"/>
  <c r="U85" i="91"/>
  <c r="BJ42" i="110" s="1"/>
  <c r="T85" i="91"/>
  <c r="BI42" i="110" s="1"/>
  <c r="Z85" i="93"/>
  <c r="CC42" i="110" s="1"/>
  <c r="Y85" i="93"/>
  <c r="CB42" i="110" s="1"/>
  <c r="X85" i="93"/>
  <c r="CA42" i="110" s="1"/>
  <c r="W85" i="93"/>
  <c r="BZ42" i="110" s="1"/>
  <c r="V85" i="93"/>
  <c r="BY42" i="110" s="1"/>
  <c r="U85" i="93"/>
  <c r="BX42" i="110" s="1"/>
  <c r="T85" i="93"/>
  <c r="BW42" i="110" s="1"/>
  <c r="B37" i="46"/>
  <c r="V86" i="91" l="1"/>
  <c r="BK43" i="110" s="1"/>
  <c r="W86" i="89"/>
  <c r="AX43" i="110" s="1"/>
  <c r="V86" i="93"/>
  <c r="BY43" i="110" s="1"/>
  <c r="W86" i="91"/>
  <c r="BL43" i="110" s="1"/>
  <c r="X86" i="89"/>
  <c r="AY43" i="110" s="1"/>
  <c r="U86" i="93"/>
  <c r="BX43" i="110" s="1"/>
  <c r="X86" i="93"/>
  <c r="CA43" i="110" s="1"/>
  <c r="Y86" i="91"/>
  <c r="BN43" i="110" s="1"/>
  <c r="Z86" i="89"/>
  <c r="BA43" i="110" s="1"/>
  <c r="Y86" i="93"/>
  <c r="CB43" i="110" s="1"/>
  <c r="Z86" i="91"/>
  <c r="BO43" i="110" s="1"/>
  <c r="CF44" i="110"/>
  <c r="BR44" i="110"/>
  <c r="BD44" i="110"/>
  <c r="AP44" i="110"/>
  <c r="Z86" i="93"/>
  <c r="CC43" i="110" s="1"/>
  <c r="T86" i="89"/>
  <c r="AU43" i="110" s="1"/>
  <c r="X86" i="91"/>
  <c r="BM43" i="110" s="1"/>
  <c r="Y86" i="89"/>
  <c r="AZ43" i="110" s="1"/>
  <c r="T86" i="91"/>
  <c r="BI43" i="110" s="1"/>
  <c r="U86" i="89"/>
  <c r="AV43" i="110" s="1"/>
  <c r="W86" i="93"/>
  <c r="BZ43" i="110" s="1"/>
  <c r="T86" i="93"/>
  <c r="BW43" i="110" s="1"/>
  <c r="U86" i="91"/>
  <c r="BJ43" i="110" s="1"/>
  <c r="V86" i="89"/>
  <c r="AW43" i="110" s="1"/>
  <c r="AC87" i="89"/>
  <c r="R87" i="89" s="1"/>
  <c r="AC87" i="87"/>
  <c r="R87" i="87" s="1"/>
  <c r="AC87" i="93"/>
  <c r="R87" i="93" s="1"/>
  <c r="AC87" i="91"/>
  <c r="R87" i="91" s="1"/>
  <c r="M45" i="28"/>
  <c r="M45" i="87"/>
  <c r="M45" i="89"/>
  <c r="M45" i="91"/>
  <c r="M45" i="93"/>
  <c r="S85" i="93"/>
  <c r="BV42" i="110" s="1"/>
  <c r="S85" i="91"/>
  <c r="BH42" i="110" s="1"/>
  <c r="S85" i="89"/>
  <c r="AT42" i="110" s="1"/>
  <c r="D80" i="46"/>
  <c r="E80" i="46" s="1"/>
  <c r="F80" i="46" s="1"/>
  <c r="G80" i="46" s="1"/>
  <c r="H80" i="46" s="1"/>
  <c r="I80" i="46" s="1"/>
  <c r="J80" i="46" s="1"/>
  <c r="K80" i="46" s="1"/>
  <c r="L80" i="46" s="1"/>
  <c r="D79" i="46"/>
  <c r="E79" i="46" s="1"/>
  <c r="F79" i="46" s="1"/>
  <c r="G79" i="46" s="1"/>
  <c r="H79" i="46" s="1"/>
  <c r="I79" i="46" s="1"/>
  <c r="J79" i="46" s="1"/>
  <c r="K79" i="46" s="1"/>
  <c r="L79" i="46" s="1"/>
  <c r="D78" i="46"/>
  <c r="E78" i="46" s="1"/>
  <c r="F78" i="46" s="1"/>
  <c r="G78" i="46" s="1"/>
  <c r="H78" i="46" s="1"/>
  <c r="I78" i="46" s="1"/>
  <c r="J78" i="46" s="1"/>
  <c r="K78" i="46" s="1"/>
  <c r="L78" i="46" s="1"/>
  <c r="D77" i="46"/>
  <c r="E77" i="46" s="1"/>
  <c r="F77" i="46" s="1"/>
  <c r="G77" i="46" s="1"/>
  <c r="H77" i="46" s="1"/>
  <c r="I77" i="46" s="1"/>
  <c r="J77" i="46" s="1"/>
  <c r="K77" i="46" s="1"/>
  <c r="L77" i="46" s="1"/>
  <c r="D76" i="46"/>
  <c r="E76" i="46" s="1"/>
  <c r="F76" i="46" s="1"/>
  <c r="G76" i="46" s="1"/>
  <c r="H76" i="46" s="1"/>
  <c r="I76" i="46" s="1"/>
  <c r="J76" i="46" s="1"/>
  <c r="K76" i="46" s="1"/>
  <c r="L76" i="46" s="1"/>
  <c r="D75" i="46"/>
  <c r="E75" i="46" s="1"/>
  <c r="F75" i="46" s="1"/>
  <c r="G75" i="46" s="1"/>
  <c r="H75" i="46" s="1"/>
  <c r="I75" i="46" s="1"/>
  <c r="J75" i="46" s="1"/>
  <c r="K75" i="46" s="1"/>
  <c r="L75" i="46" s="1"/>
  <c r="D74" i="46"/>
  <c r="E74" i="46" s="1"/>
  <c r="F74" i="46" s="1"/>
  <c r="G74" i="46" s="1"/>
  <c r="H74" i="46" s="1"/>
  <c r="I74" i="46" s="1"/>
  <c r="J74" i="46" s="1"/>
  <c r="K74" i="46" s="1"/>
  <c r="L74" i="46" s="1"/>
  <c r="D73" i="46"/>
  <c r="E73" i="46" s="1"/>
  <c r="F73" i="46" s="1"/>
  <c r="G73" i="46" s="1"/>
  <c r="H73" i="46" s="1"/>
  <c r="I73" i="46" s="1"/>
  <c r="J73" i="46" s="1"/>
  <c r="K73" i="46" s="1"/>
  <c r="L73" i="46" s="1"/>
  <c r="D72" i="46"/>
  <c r="E72" i="46" s="1"/>
  <c r="F72" i="46" s="1"/>
  <c r="G72" i="46" s="1"/>
  <c r="H72" i="46" s="1"/>
  <c r="I72" i="46" s="1"/>
  <c r="J72" i="46" s="1"/>
  <c r="K72" i="46" s="1"/>
  <c r="L72" i="46" s="1"/>
  <c r="D67" i="46"/>
  <c r="E67" i="46" s="1"/>
  <c r="D66" i="46"/>
  <c r="E66" i="46" s="1"/>
  <c r="D65" i="46"/>
  <c r="E65" i="46" s="1"/>
  <c r="D64" i="46"/>
  <c r="E64" i="46" s="1"/>
  <c r="D63" i="46"/>
  <c r="E63" i="46" s="1"/>
  <c r="D62" i="46"/>
  <c r="E62" i="46" s="1"/>
  <c r="D61" i="46"/>
  <c r="E61" i="46" s="1"/>
  <c r="D60" i="46"/>
  <c r="E60" i="46" s="1"/>
  <c r="D59" i="46"/>
  <c r="E59" i="46" s="1"/>
  <c r="D30" i="28"/>
  <c r="C30" i="28"/>
  <c r="AE20" i="28"/>
  <c r="V88" i="93" l="1"/>
  <c r="V89" i="93" s="1"/>
  <c r="Y88" i="89"/>
  <c r="Y89" i="89" s="1"/>
  <c r="Z88" i="91"/>
  <c r="Z89" i="91" s="1"/>
  <c r="U88" i="89"/>
  <c r="U89" i="89" s="1"/>
  <c r="X88" i="89"/>
  <c r="X89" i="89" s="1"/>
  <c r="X88" i="93"/>
  <c r="X89" i="93" s="1"/>
  <c r="V88" i="91"/>
  <c r="V89" i="91" s="1"/>
  <c r="T88" i="89"/>
  <c r="T89" i="89" s="1"/>
  <c r="Z88" i="89"/>
  <c r="Z89" i="89" s="1"/>
  <c r="T88" i="91"/>
  <c r="T89" i="91" s="1"/>
  <c r="T88" i="93"/>
  <c r="T89" i="93" s="1"/>
  <c r="W88" i="89"/>
  <c r="W89" i="89" s="1"/>
  <c r="Z88" i="93"/>
  <c r="Z89" i="93" s="1"/>
  <c r="Y88" i="93"/>
  <c r="Y89" i="93" s="1"/>
  <c r="V88" i="89"/>
  <c r="V89" i="89" s="1"/>
  <c r="U88" i="93"/>
  <c r="U89" i="93" s="1"/>
  <c r="U88" i="91"/>
  <c r="U89" i="91" s="1"/>
  <c r="W88" i="93"/>
  <c r="W89" i="93" s="1"/>
  <c r="Y88" i="91"/>
  <c r="Y89" i="91" s="1"/>
  <c r="X88" i="91"/>
  <c r="X89" i="91" s="1"/>
  <c r="W88" i="91"/>
  <c r="W89" i="91" s="1"/>
  <c r="AC85" i="89"/>
  <c r="R85" i="89" s="1"/>
  <c r="BD42" i="110"/>
  <c r="AC85" i="91"/>
  <c r="R85" i="91" s="1"/>
  <c r="BR42" i="110"/>
  <c r="AC85" i="93"/>
  <c r="R85" i="93" s="1"/>
  <c r="CF42" i="110"/>
  <c r="S86" i="89"/>
  <c r="AT43" i="110" s="1"/>
  <c r="S86" i="91"/>
  <c r="BH43" i="110" s="1"/>
  <c r="S86" i="93"/>
  <c r="BV43" i="110" s="1"/>
  <c r="F67" i="46"/>
  <c r="F66" i="46"/>
  <c r="F65" i="46"/>
  <c r="F64" i="46"/>
  <c r="F63" i="46"/>
  <c r="F62" i="46"/>
  <c r="F61" i="46"/>
  <c r="F60" i="46"/>
  <c r="F59" i="46"/>
  <c r="E3" i="104"/>
  <c r="CA46" i="110" l="1"/>
  <c r="AY45" i="110"/>
  <c r="AY46" i="110"/>
  <c r="BL45" i="110"/>
  <c r="BM45" i="110"/>
  <c r="BM46" i="110"/>
  <c r="AV45" i="110"/>
  <c r="BK45" i="110"/>
  <c r="V93" i="91"/>
  <c r="BO45" i="110"/>
  <c r="AX45" i="110"/>
  <c r="AX46" i="110"/>
  <c r="BN45" i="110"/>
  <c r="BN46" i="110"/>
  <c r="AZ45" i="110"/>
  <c r="AZ46" i="110"/>
  <c r="AU45" i="110"/>
  <c r="AW45" i="110"/>
  <c r="BI45" i="110"/>
  <c r="BJ45" i="110"/>
  <c r="BJ46" i="110"/>
  <c r="BA45" i="110"/>
  <c r="Z93" i="89"/>
  <c r="BY45" i="110"/>
  <c r="BY46" i="110"/>
  <c r="CB45" i="110"/>
  <c r="CA45" i="110"/>
  <c r="X92" i="93"/>
  <c r="CA49" i="110" s="1"/>
  <c r="BW45" i="110"/>
  <c r="CC45" i="110"/>
  <c r="BZ45" i="110"/>
  <c r="V92" i="93"/>
  <c r="BY49" i="110" s="1"/>
  <c r="BX45" i="110"/>
  <c r="T92" i="93"/>
  <c r="BW49" i="110" s="1"/>
  <c r="Y92" i="93"/>
  <c r="CB49" i="110" s="1"/>
  <c r="BX46" i="110"/>
  <c r="CC46" i="110"/>
  <c r="BR43" i="110"/>
  <c r="BD43" i="110"/>
  <c r="CF43" i="110"/>
  <c r="BZ46" i="110"/>
  <c r="S88" i="93"/>
  <c r="S89" i="93" s="1"/>
  <c r="AC86" i="93"/>
  <c r="R86" i="93" s="1"/>
  <c r="S88" i="91"/>
  <c r="S89" i="91" s="1"/>
  <c r="AC86" i="91"/>
  <c r="R86" i="91" s="1"/>
  <c r="S88" i="89"/>
  <c r="S89" i="89" s="1"/>
  <c r="AC86" i="89"/>
  <c r="R86" i="89" s="1"/>
  <c r="G67" i="46"/>
  <c r="G66" i="46"/>
  <c r="G65" i="46"/>
  <c r="G64" i="46"/>
  <c r="G63" i="46"/>
  <c r="G62" i="46"/>
  <c r="G61" i="46"/>
  <c r="G60" i="46"/>
  <c r="G59" i="46"/>
  <c r="C3" i="102"/>
  <c r="AY50" i="110" l="1"/>
  <c r="AZ50" i="110"/>
  <c r="AX50" i="110"/>
  <c r="AT45" i="110"/>
  <c r="BD45" i="110" s="1"/>
  <c r="AT46" i="110"/>
  <c r="BH45" i="110"/>
  <c r="BR45" i="110" s="1"/>
  <c r="BH46" i="110"/>
  <c r="BY50" i="110"/>
  <c r="F2" i="107"/>
  <c r="Y93" i="89"/>
  <c r="W93" i="89"/>
  <c r="X93" i="89"/>
  <c r="Z92" i="93"/>
  <c r="CC49" i="110" s="1"/>
  <c r="CC50" i="110" s="1"/>
  <c r="CA50" i="110"/>
  <c r="X93" i="93"/>
  <c r="V93" i="93"/>
  <c r="U92" i="93"/>
  <c r="BX49" i="110" s="1"/>
  <c r="BX50" i="110" s="1"/>
  <c r="BV45" i="110"/>
  <c r="W92" i="93"/>
  <c r="BZ49" i="110" s="1"/>
  <c r="BZ50" i="110" s="1"/>
  <c r="CB46" i="110"/>
  <c r="CB50" i="110" s="1"/>
  <c r="BW46" i="110"/>
  <c r="BW50" i="110" s="1"/>
  <c r="AU46" i="110"/>
  <c r="AU50" i="110" s="1"/>
  <c r="BA46" i="110"/>
  <c r="BA50" i="110" s="1"/>
  <c r="BI46" i="110"/>
  <c r="BI50" i="110" s="1"/>
  <c r="BO46" i="110"/>
  <c r="BO50" i="110" s="1"/>
  <c r="BK46" i="110"/>
  <c r="BK50" i="110" s="1"/>
  <c r="AW46" i="110"/>
  <c r="AW50" i="110" s="1"/>
  <c r="BL46" i="110"/>
  <c r="BL50" i="110" s="1"/>
  <c r="AV46" i="110"/>
  <c r="AV50" i="110" s="1"/>
  <c r="V93" i="89"/>
  <c r="T93" i="91"/>
  <c r="U93" i="89"/>
  <c r="Z93" i="91"/>
  <c r="Y93" i="93"/>
  <c r="T93" i="89"/>
  <c r="W93" i="91"/>
  <c r="T93" i="93"/>
  <c r="BJ50" i="110"/>
  <c r="U93" i="91"/>
  <c r="BM50" i="110"/>
  <c r="BV46" i="110"/>
  <c r="Y93" i="91"/>
  <c r="BN50" i="110"/>
  <c r="X93" i="91"/>
  <c r="AC88" i="91"/>
  <c r="R88" i="91" s="1"/>
  <c r="AC88" i="93"/>
  <c r="R88" i="93" s="1"/>
  <c r="AC88" i="89"/>
  <c r="R88" i="89" s="1"/>
  <c r="H67" i="46"/>
  <c r="H66" i="46"/>
  <c r="H65" i="46"/>
  <c r="H64" i="46"/>
  <c r="H63" i="46"/>
  <c r="H62" i="46"/>
  <c r="H61" i="46"/>
  <c r="H60" i="46"/>
  <c r="H59" i="46"/>
  <c r="U93" i="93" l="1"/>
  <c r="Z93" i="93"/>
  <c r="W93" i="93"/>
  <c r="S92" i="93"/>
  <c r="S93" i="93" s="1"/>
  <c r="CF46" i="110"/>
  <c r="AC89" i="93"/>
  <c r="R89" i="93" s="1"/>
  <c r="AC89" i="89"/>
  <c r="R89" i="89" s="1"/>
  <c r="CF45" i="110"/>
  <c r="AC89" i="91"/>
  <c r="R89" i="91" s="1"/>
  <c r="S93" i="91"/>
  <c r="AC93" i="91" s="1"/>
  <c r="S93" i="89"/>
  <c r="AC93" i="89" s="1"/>
  <c r="I67" i="46"/>
  <c r="I66" i="46"/>
  <c r="I65" i="46"/>
  <c r="I64" i="46"/>
  <c r="I63" i="46"/>
  <c r="I62" i="46"/>
  <c r="I61" i="46"/>
  <c r="I60" i="46"/>
  <c r="I59" i="46"/>
  <c r="AC93" i="93" l="1"/>
  <c r="R93" i="93" s="1"/>
  <c r="BV49" i="110"/>
  <c r="AC92" i="93"/>
  <c r="R92" i="93" s="1"/>
  <c r="R93" i="89"/>
  <c r="R93" i="91"/>
  <c r="AT50" i="110"/>
  <c r="BD50" i="110" s="1"/>
  <c r="BD46" i="110"/>
  <c r="BH50" i="110"/>
  <c r="BR50" i="110" s="1"/>
  <c r="BR46" i="110"/>
  <c r="J67" i="46"/>
  <c r="K67" i="46" s="1"/>
  <c r="J66" i="46"/>
  <c r="K66" i="46" s="1"/>
  <c r="J65" i="46"/>
  <c r="K65" i="46" s="1"/>
  <c r="J64" i="46"/>
  <c r="K64" i="46" s="1"/>
  <c r="J63" i="46"/>
  <c r="K63" i="46" s="1"/>
  <c r="J62" i="46"/>
  <c r="K62" i="46" s="1"/>
  <c r="J61" i="46"/>
  <c r="K61" i="46" s="1"/>
  <c r="J60" i="46"/>
  <c r="K60" i="46" s="1"/>
  <c r="J59" i="46"/>
  <c r="K59" i="46" s="1"/>
  <c r="AE29" i="28"/>
  <c r="D55" i="46"/>
  <c r="E55" i="46" s="1"/>
  <c r="D8" i="46"/>
  <c r="D13" i="46"/>
  <c r="E13" i="46" s="1"/>
  <c r="D12" i="46"/>
  <c r="E12" i="46" s="1"/>
  <c r="I30" i="87"/>
  <c r="I30" i="89"/>
  <c r="I30" i="91"/>
  <c r="I30" i="93"/>
  <c r="I30" i="28"/>
  <c r="AE20" i="87"/>
  <c r="AE20" i="89"/>
  <c r="AE20" i="91"/>
  <c r="AE20" i="93"/>
  <c r="D81" i="46"/>
  <c r="E81" i="46" s="1"/>
  <c r="F81" i="46" s="1"/>
  <c r="G81" i="46" s="1"/>
  <c r="H81" i="46" s="1"/>
  <c r="I81" i="46" s="1"/>
  <c r="J81" i="46" s="1"/>
  <c r="K81" i="46" s="1"/>
  <c r="L81" i="46" s="1"/>
  <c r="B42" i="93"/>
  <c r="B41" i="93"/>
  <c r="B40" i="93"/>
  <c r="B39" i="93"/>
  <c r="B38" i="93"/>
  <c r="B37" i="93"/>
  <c r="B36" i="93"/>
  <c r="B35" i="93"/>
  <c r="B34" i="93"/>
  <c r="B33" i="93"/>
  <c r="B42" i="91"/>
  <c r="B41" i="91"/>
  <c r="B40" i="91"/>
  <c r="B39" i="91"/>
  <c r="B38" i="91"/>
  <c r="B37" i="91"/>
  <c r="B36" i="91"/>
  <c r="B35" i="91"/>
  <c r="B34" i="91"/>
  <c r="B33" i="91"/>
  <c r="B42" i="89"/>
  <c r="B41" i="89"/>
  <c r="B40" i="89"/>
  <c r="B39" i="89"/>
  <c r="B38" i="89"/>
  <c r="B37" i="89"/>
  <c r="B36" i="89"/>
  <c r="B35" i="89"/>
  <c r="B34" i="89"/>
  <c r="B33" i="89"/>
  <c r="B42" i="87"/>
  <c r="B41" i="87"/>
  <c r="B40" i="87"/>
  <c r="B39" i="87"/>
  <c r="B38" i="87"/>
  <c r="B37" i="87"/>
  <c r="B36" i="87"/>
  <c r="B35" i="87"/>
  <c r="B34" i="87"/>
  <c r="B33" i="87"/>
  <c r="B41" i="46"/>
  <c r="B35" i="28" s="1"/>
  <c r="B40" i="46"/>
  <c r="B39" i="46"/>
  <c r="B34" i="28" s="1"/>
  <c r="B36" i="46"/>
  <c r="B34" i="46"/>
  <c r="B35" i="46"/>
  <c r="B36" i="28" s="1"/>
  <c r="D58" i="46"/>
  <c r="E58" i="46" s="1"/>
  <c r="D57" i="46"/>
  <c r="E57" i="46" s="1"/>
  <c r="D71" i="46"/>
  <c r="E71" i="46" s="1"/>
  <c r="F71" i="46" s="1"/>
  <c r="G71" i="46" s="1"/>
  <c r="H71" i="46" s="1"/>
  <c r="I71" i="46" s="1"/>
  <c r="J71" i="46" s="1"/>
  <c r="K71" i="46" s="1"/>
  <c r="L71" i="46" s="1"/>
  <c r="D56" i="46"/>
  <c r="E56" i="46" s="1"/>
  <c r="C4" i="87"/>
  <c r="C3" i="87"/>
  <c r="C4" i="89"/>
  <c r="C3" i="89"/>
  <c r="C4" i="91"/>
  <c r="C3" i="91"/>
  <c r="C4" i="93"/>
  <c r="C3" i="93"/>
  <c r="S45" i="87"/>
  <c r="H30" i="93"/>
  <c r="G30" i="93"/>
  <c r="F30" i="93"/>
  <c r="E30" i="93"/>
  <c r="D30" i="93"/>
  <c r="C30" i="93"/>
  <c r="C19" i="93"/>
  <c r="S19" i="93" s="1"/>
  <c r="S35" i="93" s="1"/>
  <c r="H30" i="91"/>
  <c r="G30" i="91"/>
  <c r="F30" i="91"/>
  <c r="E30" i="91"/>
  <c r="D30" i="91"/>
  <c r="C30" i="91"/>
  <c r="C19" i="91"/>
  <c r="C51" i="91" s="1"/>
  <c r="H30" i="89"/>
  <c r="G30" i="89"/>
  <c r="F30" i="89"/>
  <c r="E30" i="89"/>
  <c r="D30" i="89"/>
  <c r="C30" i="89"/>
  <c r="C19" i="89"/>
  <c r="C32" i="89" s="1"/>
  <c r="H30" i="87"/>
  <c r="G30" i="87"/>
  <c r="F30" i="87"/>
  <c r="E30" i="87"/>
  <c r="D30" i="87"/>
  <c r="C30" i="87"/>
  <c r="C19" i="87"/>
  <c r="S32" i="87" s="1"/>
  <c r="B51" i="46"/>
  <c r="B50" i="46"/>
  <c r="B49" i="46"/>
  <c r="B48" i="46"/>
  <c r="B47" i="46"/>
  <c r="B46" i="46"/>
  <c r="B45" i="46"/>
  <c r="B44" i="46"/>
  <c r="B43" i="46"/>
  <c r="B42" i="46"/>
  <c r="B24" i="87"/>
  <c r="C19" i="28"/>
  <c r="D19" i="28" s="1"/>
  <c r="T19" i="28" s="1"/>
  <c r="D36" i="46"/>
  <c r="E36" i="46" s="1"/>
  <c r="D37" i="46"/>
  <c r="E37" i="46" s="1"/>
  <c r="F37" i="46" s="1"/>
  <c r="G37" i="46" s="1"/>
  <c r="D49" i="46"/>
  <c r="E49" i="46" s="1"/>
  <c r="F49" i="46" s="1"/>
  <c r="B42" i="28"/>
  <c r="B41" i="28"/>
  <c r="B40" i="28"/>
  <c r="B39" i="28"/>
  <c r="B38" i="28"/>
  <c r="D41" i="46"/>
  <c r="E41" i="46" s="1"/>
  <c r="D54" i="46"/>
  <c r="D44" i="46"/>
  <c r="E44" i="46" s="1"/>
  <c r="D45" i="46"/>
  <c r="E45" i="46" s="1"/>
  <c r="F45" i="46" s="1"/>
  <c r="D40" i="46"/>
  <c r="E40" i="46" s="1"/>
  <c r="D39" i="46"/>
  <c r="E39" i="46" s="1"/>
  <c r="N3" i="46"/>
  <c r="D3" i="46"/>
  <c r="O3" i="46" s="1"/>
  <c r="Z5" i="46"/>
  <c r="D70" i="46"/>
  <c r="E70" i="46" s="1"/>
  <c r="F70" i="46" s="1"/>
  <c r="G70" i="46" s="1"/>
  <c r="H70" i="46" s="1"/>
  <c r="I70" i="46" s="1"/>
  <c r="J70" i="46" s="1"/>
  <c r="K70" i="46" s="1"/>
  <c r="L70" i="46" s="1"/>
  <c r="D69" i="46"/>
  <c r="D51" i="46"/>
  <c r="E51" i="46" s="1"/>
  <c r="D50" i="46"/>
  <c r="E50" i="46" s="1"/>
  <c r="D48" i="46"/>
  <c r="E48" i="46" s="1"/>
  <c r="D47" i="46"/>
  <c r="E47" i="46" s="1"/>
  <c r="D46" i="46"/>
  <c r="E46" i="46" s="1"/>
  <c r="D43" i="46"/>
  <c r="E43" i="46" s="1"/>
  <c r="D42" i="46"/>
  <c r="E42" i="46" s="1"/>
  <c r="D30" i="46"/>
  <c r="E30" i="46" s="1"/>
  <c r="D29" i="46"/>
  <c r="E29" i="46" s="1"/>
  <c r="D28" i="46"/>
  <c r="E28" i="46" s="1"/>
  <c r="D27" i="46"/>
  <c r="E27" i="46" s="1"/>
  <c r="D26" i="46"/>
  <c r="E26" i="46" s="1"/>
  <c r="D25" i="46"/>
  <c r="E25" i="46" s="1"/>
  <c r="D24" i="46"/>
  <c r="E24" i="46" s="1"/>
  <c r="D23" i="46"/>
  <c r="E23" i="46" s="1"/>
  <c r="D22" i="46"/>
  <c r="D21" i="46"/>
  <c r="E21" i="46" s="1"/>
  <c r="D38" i="46"/>
  <c r="E38" i="46" s="1"/>
  <c r="D35" i="46"/>
  <c r="D34" i="46"/>
  <c r="E34" i="46" s="1"/>
  <c r="D17" i="46"/>
  <c r="E17" i="46" s="1"/>
  <c r="D16" i="46"/>
  <c r="D15" i="46"/>
  <c r="D14" i="46"/>
  <c r="E14" i="46" s="1"/>
  <c r="D11" i="46"/>
  <c r="E11" i="46" s="1"/>
  <c r="D7" i="46"/>
  <c r="E7" i="46" s="1"/>
  <c r="H30" i="28"/>
  <c r="G30" i="28"/>
  <c r="F30" i="28"/>
  <c r="E30" i="28"/>
  <c r="J48" i="93" l="1"/>
  <c r="C48" i="93"/>
  <c r="S43" i="93" s="1"/>
  <c r="I48" i="93"/>
  <c r="H48" i="93"/>
  <c r="K48" i="93"/>
  <c r="G48" i="93"/>
  <c r="F48" i="93"/>
  <c r="E48" i="93"/>
  <c r="D48" i="93"/>
  <c r="L48" i="93"/>
  <c r="J48" i="91"/>
  <c r="C48" i="91"/>
  <c r="S43" i="91" s="1"/>
  <c r="I48" i="91"/>
  <c r="K48" i="91"/>
  <c r="H48" i="91"/>
  <c r="G48" i="91"/>
  <c r="F48" i="91"/>
  <c r="E48" i="91"/>
  <c r="L48" i="91"/>
  <c r="D48" i="91"/>
  <c r="J48" i="89"/>
  <c r="C48" i="89"/>
  <c r="S43" i="89" s="1"/>
  <c r="I48" i="89"/>
  <c r="H48" i="89"/>
  <c r="G48" i="89"/>
  <c r="D48" i="89"/>
  <c r="F48" i="89"/>
  <c r="E48" i="89"/>
  <c r="L48" i="89"/>
  <c r="K48" i="89"/>
  <c r="E69" i="46"/>
  <c r="F69" i="46" s="1"/>
  <c r="G69" i="46" s="1"/>
  <c r="H69" i="46" s="1"/>
  <c r="I69" i="46" s="1"/>
  <c r="J69" i="46" s="1"/>
  <c r="K69" i="46" s="1"/>
  <c r="L69" i="46" s="1"/>
  <c r="N23" i="46"/>
  <c r="N10" i="46"/>
  <c r="N9" i="46"/>
  <c r="O9" i="46"/>
  <c r="O10" i="46"/>
  <c r="P10" i="46"/>
  <c r="P9" i="46"/>
  <c r="Q9" i="46"/>
  <c r="Q10" i="46"/>
  <c r="R10" i="46"/>
  <c r="R9" i="46"/>
  <c r="S10" i="46"/>
  <c r="S9" i="46"/>
  <c r="T10" i="46"/>
  <c r="T9" i="46"/>
  <c r="U10" i="46"/>
  <c r="U9" i="46"/>
  <c r="V10" i="46"/>
  <c r="V9" i="46"/>
  <c r="W9" i="46"/>
  <c r="W10" i="46"/>
  <c r="CF49" i="110"/>
  <c r="BV50" i="110"/>
  <c r="CF50" i="110" s="1"/>
  <c r="L65" i="46"/>
  <c r="W65" i="46" s="1"/>
  <c r="V65" i="46"/>
  <c r="L66" i="46"/>
  <c r="W66" i="46" s="1"/>
  <c r="V66" i="46"/>
  <c r="L64" i="46"/>
  <c r="W64" i="46" s="1"/>
  <c r="V64" i="46"/>
  <c r="L59" i="46"/>
  <c r="W59" i="46" s="1"/>
  <c r="V59" i="46"/>
  <c r="L67" i="46"/>
  <c r="W67" i="46" s="1"/>
  <c r="V67" i="46"/>
  <c r="L60" i="46"/>
  <c r="W60" i="46" s="1"/>
  <c r="V60" i="46"/>
  <c r="L61" i="46"/>
  <c r="W61" i="46" s="1"/>
  <c r="V61" i="46"/>
  <c r="L62" i="46"/>
  <c r="W62" i="46" s="1"/>
  <c r="V62" i="46"/>
  <c r="E54" i="46"/>
  <c r="D44" i="89"/>
  <c r="D44" i="87"/>
  <c r="D44" i="93"/>
  <c r="D44" i="91"/>
  <c r="L63" i="46"/>
  <c r="W63" i="46" s="1"/>
  <c r="V63" i="46"/>
  <c r="C67" i="87"/>
  <c r="C63" i="87" s="1"/>
  <c r="H67" i="87"/>
  <c r="H63" i="87" s="1"/>
  <c r="X73" i="87" s="1"/>
  <c r="G67" i="87"/>
  <c r="G63" i="87" s="1"/>
  <c r="W73" i="87" s="1"/>
  <c r="I67" i="87"/>
  <c r="I63" i="87" s="1"/>
  <c r="Y73" i="87" s="1"/>
  <c r="F67" i="87"/>
  <c r="F63" i="87" s="1"/>
  <c r="V73" i="87" s="1"/>
  <c r="E67" i="87"/>
  <c r="E63" i="87" s="1"/>
  <c r="U73" i="87" s="1"/>
  <c r="L67" i="87"/>
  <c r="L63" i="87" s="1"/>
  <c r="AB73" i="87" s="1"/>
  <c r="D67" i="87"/>
  <c r="D63" i="87" s="1"/>
  <c r="T73" i="87" s="1"/>
  <c r="K67" i="87"/>
  <c r="K63" i="87" s="1"/>
  <c r="AA73" i="87" s="1"/>
  <c r="J67" i="87"/>
  <c r="J63" i="87" s="1"/>
  <c r="Z73" i="87" s="1"/>
  <c r="C67" i="89"/>
  <c r="C63" i="89" s="1"/>
  <c r="J67" i="89"/>
  <c r="J63" i="89" s="1"/>
  <c r="Z73" i="89" s="1"/>
  <c r="I67" i="89"/>
  <c r="I63" i="89" s="1"/>
  <c r="Y73" i="89" s="1"/>
  <c r="H67" i="89"/>
  <c r="H63" i="89" s="1"/>
  <c r="X73" i="89" s="1"/>
  <c r="G67" i="89"/>
  <c r="G63" i="89" s="1"/>
  <c r="W73" i="89" s="1"/>
  <c r="F67" i="89"/>
  <c r="F63" i="89" s="1"/>
  <c r="V73" i="89" s="1"/>
  <c r="E67" i="89"/>
  <c r="E63" i="89" s="1"/>
  <c r="U73" i="89" s="1"/>
  <c r="K67" i="89"/>
  <c r="K63" i="89" s="1"/>
  <c r="AA73" i="89" s="1"/>
  <c r="L67" i="89"/>
  <c r="L63" i="89" s="1"/>
  <c r="AB73" i="89" s="1"/>
  <c r="D67" i="89"/>
  <c r="D63" i="89" s="1"/>
  <c r="T73" i="89" s="1"/>
  <c r="C67" i="91"/>
  <c r="C63" i="91" s="1"/>
  <c r="L67" i="91"/>
  <c r="L63" i="91" s="1"/>
  <c r="AB73" i="91" s="1"/>
  <c r="D67" i="91"/>
  <c r="D63" i="91" s="1"/>
  <c r="T73" i="91" s="1"/>
  <c r="K67" i="91"/>
  <c r="K63" i="91" s="1"/>
  <c r="AA73" i="91" s="1"/>
  <c r="J67" i="91"/>
  <c r="J63" i="91" s="1"/>
  <c r="Z73" i="91" s="1"/>
  <c r="I67" i="91"/>
  <c r="I63" i="91" s="1"/>
  <c r="Y73" i="91" s="1"/>
  <c r="H67" i="91"/>
  <c r="H63" i="91" s="1"/>
  <c r="X73" i="91" s="1"/>
  <c r="E67" i="91"/>
  <c r="E63" i="91" s="1"/>
  <c r="U73" i="91" s="1"/>
  <c r="G67" i="91"/>
  <c r="G63" i="91" s="1"/>
  <c r="W73" i="91" s="1"/>
  <c r="F67" i="91"/>
  <c r="F63" i="91" s="1"/>
  <c r="V73" i="91" s="1"/>
  <c r="C67" i="93"/>
  <c r="F67" i="93"/>
  <c r="F63" i="93" s="1"/>
  <c r="V73" i="93" s="1"/>
  <c r="E67" i="93"/>
  <c r="E63" i="93" s="1"/>
  <c r="U73" i="93" s="1"/>
  <c r="L67" i="93"/>
  <c r="L63" i="93" s="1"/>
  <c r="AB73" i="93" s="1"/>
  <c r="D67" i="93"/>
  <c r="D63" i="93" s="1"/>
  <c r="T73" i="93" s="1"/>
  <c r="K67" i="93"/>
  <c r="K63" i="93" s="1"/>
  <c r="AA73" i="93" s="1"/>
  <c r="G67" i="93"/>
  <c r="G63" i="93" s="1"/>
  <c r="W73" i="93" s="1"/>
  <c r="J67" i="93"/>
  <c r="J63" i="93" s="1"/>
  <c r="Z73" i="93" s="1"/>
  <c r="I67" i="93"/>
  <c r="I63" i="93" s="1"/>
  <c r="Y73" i="93" s="1"/>
  <c r="H67" i="93"/>
  <c r="H63" i="93" s="1"/>
  <c r="X73" i="93" s="1"/>
  <c r="T59" i="46"/>
  <c r="N22" i="46"/>
  <c r="S20" i="93"/>
  <c r="S53" i="93"/>
  <c r="E22" i="46"/>
  <c r="F22" i="46" s="1"/>
  <c r="D28" i="102"/>
  <c r="D28" i="104"/>
  <c r="AQ45" i="93"/>
  <c r="B37" i="28"/>
  <c r="U60" i="46"/>
  <c r="U64" i="46"/>
  <c r="T60" i="46"/>
  <c r="T64" i="46"/>
  <c r="T61" i="46"/>
  <c r="U65" i="46"/>
  <c r="U61" i="46"/>
  <c r="T65" i="46"/>
  <c r="T62" i="46"/>
  <c r="U66" i="46"/>
  <c r="U62" i="46"/>
  <c r="T66" i="46"/>
  <c r="U63" i="46"/>
  <c r="U67" i="46"/>
  <c r="N18" i="46"/>
  <c r="N61" i="46"/>
  <c r="N59" i="46"/>
  <c r="N60" i="46"/>
  <c r="N67" i="46"/>
  <c r="N66" i="46"/>
  <c r="N65" i="46"/>
  <c r="N64" i="46"/>
  <c r="N63" i="46"/>
  <c r="N62" i="46"/>
  <c r="O65" i="46"/>
  <c r="P67" i="46"/>
  <c r="P61" i="46"/>
  <c r="O61" i="46"/>
  <c r="O59" i="46"/>
  <c r="P64" i="46"/>
  <c r="O62" i="46"/>
  <c r="P59" i="46"/>
  <c r="O67" i="46"/>
  <c r="O64" i="46"/>
  <c r="P66" i="46"/>
  <c r="P63" i="46"/>
  <c r="P62" i="46"/>
  <c r="O66" i="46"/>
  <c r="O63" i="46"/>
  <c r="P60" i="46"/>
  <c r="O60" i="46"/>
  <c r="P65" i="46"/>
  <c r="Q67" i="46"/>
  <c r="Q63" i="46"/>
  <c r="Q59" i="46"/>
  <c r="Q66" i="46"/>
  <c r="Q62" i="46"/>
  <c r="Q61" i="46"/>
  <c r="Q65" i="46"/>
  <c r="Q64" i="46"/>
  <c r="Q60" i="46"/>
  <c r="R67" i="46"/>
  <c r="R63" i="46"/>
  <c r="R59" i="46"/>
  <c r="R66" i="46"/>
  <c r="R62" i="46"/>
  <c r="R61" i="46"/>
  <c r="R65" i="46"/>
  <c r="R64" i="46"/>
  <c r="R60" i="46"/>
  <c r="S67" i="46"/>
  <c r="S63" i="46"/>
  <c r="S59" i="46"/>
  <c r="S66" i="46"/>
  <c r="S62" i="46"/>
  <c r="S65" i="46"/>
  <c r="S61" i="46"/>
  <c r="S64" i="46"/>
  <c r="S60" i="46"/>
  <c r="U59" i="46"/>
  <c r="T63" i="46"/>
  <c r="T67" i="46"/>
  <c r="I28" i="104"/>
  <c r="G28" i="102"/>
  <c r="B23" i="28"/>
  <c r="O56" i="46"/>
  <c r="N25" i="46"/>
  <c r="C51" i="87"/>
  <c r="O27" i="46"/>
  <c r="C32" i="93"/>
  <c r="N24" i="46"/>
  <c r="N34" i="46"/>
  <c r="C51" i="93"/>
  <c r="N50" i="46"/>
  <c r="P11" i="46"/>
  <c r="F11" i="46"/>
  <c r="Q11" i="46" s="1"/>
  <c r="N51" i="46"/>
  <c r="O23" i="46"/>
  <c r="N49" i="46"/>
  <c r="N21" i="46"/>
  <c r="N17" i="46"/>
  <c r="N13" i="46"/>
  <c r="N43" i="46"/>
  <c r="N46" i="46"/>
  <c r="N6" i="46"/>
  <c r="N38" i="46"/>
  <c r="N37" i="46"/>
  <c r="O35" i="46"/>
  <c r="N26" i="46"/>
  <c r="N39" i="46"/>
  <c r="N27" i="46"/>
  <c r="N35" i="46"/>
  <c r="N40" i="46"/>
  <c r="N47" i="46"/>
  <c r="O11" i="46"/>
  <c r="N11" i="46"/>
  <c r="O21" i="46"/>
  <c r="O49" i="46"/>
  <c r="O57" i="46"/>
  <c r="O6" i="46"/>
  <c r="O41" i="46"/>
  <c r="O48" i="46"/>
  <c r="O29" i="46"/>
  <c r="O42" i="46"/>
  <c r="N44" i="46"/>
  <c r="E20" i="46"/>
  <c r="O22" i="46"/>
  <c r="O17" i="46"/>
  <c r="O30" i="46"/>
  <c r="N28" i="46"/>
  <c r="N29" i="46"/>
  <c r="N41" i="46"/>
  <c r="N48" i="46"/>
  <c r="N45" i="46"/>
  <c r="F48" i="46"/>
  <c r="Q48" i="46" s="1"/>
  <c r="P48" i="46"/>
  <c r="N56" i="46"/>
  <c r="P37" i="46"/>
  <c r="N55" i="46"/>
  <c r="O15" i="46"/>
  <c r="O58" i="46"/>
  <c r="N58" i="46"/>
  <c r="O45" i="46"/>
  <c r="O26" i="46"/>
  <c r="O37" i="46"/>
  <c r="B24" i="91"/>
  <c r="E6" i="46"/>
  <c r="O18" i="46"/>
  <c r="P47" i="46"/>
  <c r="F47" i="46"/>
  <c r="N20" i="46"/>
  <c r="N15" i="46"/>
  <c r="O34" i="46"/>
  <c r="O50" i="46"/>
  <c r="N42" i="46"/>
  <c r="O24" i="46"/>
  <c r="N16" i="46"/>
  <c r="E35" i="46"/>
  <c r="P35" i="46" s="1"/>
  <c r="N57" i="46"/>
  <c r="O16" i="46"/>
  <c r="S32" i="93"/>
  <c r="O38" i="46"/>
  <c r="B33" i="28"/>
  <c r="O36" i="46"/>
  <c r="N36" i="46"/>
  <c r="O7" i="46"/>
  <c r="N30" i="46"/>
  <c r="O43" i="46"/>
  <c r="O28" i="46"/>
  <c r="E3" i="46"/>
  <c r="P3" i="46" s="1"/>
  <c r="N7" i="46"/>
  <c r="N14" i="46"/>
  <c r="N12" i="46"/>
  <c r="T41" i="28"/>
  <c r="O51" i="46"/>
  <c r="O14" i="46"/>
  <c r="N8" i="46"/>
  <c r="O8" i="46"/>
  <c r="O47" i="46"/>
  <c r="O46" i="46"/>
  <c r="O25" i="46"/>
  <c r="E15" i="46"/>
  <c r="P15" i="46" s="1"/>
  <c r="I28" i="102"/>
  <c r="BC38" i="28"/>
  <c r="S19" i="89"/>
  <c r="AH40" i="28"/>
  <c r="AT45" i="28"/>
  <c r="AW45" i="28"/>
  <c r="AK39" i="28"/>
  <c r="AZ22" i="28"/>
  <c r="AW37" i="28"/>
  <c r="BC26" i="28"/>
  <c r="AQ36" i="28"/>
  <c r="AZ45" i="28"/>
  <c r="AZ42" i="28"/>
  <c r="AH45" i="28"/>
  <c r="AI45" i="28" s="1"/>
  <c r="AQ33" i="28"/>
  <c r="AK45" i="28"/>
  <c r="BC45" i="28"/>
  <c r="AK42" i="28"/>
  <c r="AN45" i="28"/>
  <c r="AK41" i="28"/>
  <c r="AE28" i="28"/>
  <c r="AE35" i="28"/>
  <c r="AH24" i="28"/>
  <c r="AQ45" i="28"/>
  <c r="C51" i="89"/>
  <c r="C51" i="28"/>
  <c r="S32" i="89"/>
  <c r="D19" i="89"/>
  <c r="D51" i="89" s="1"/>
  <c r="S32" i="28"/>
  <c r="C32" i="28"/>
  <c r="C32" i="87"/>
  <c r="S19" i="87"/>
  <c r="S35" i="87" s="1"/>
  <c r="AE37" i="28"/>
  <c r="AH27" i="28"/>
  <c r="AK26" i="28"/>
  <c r="AN29" i="28"/>
  <c r="AN39" i="28"/>
  <c r="BC22" i="28"/>
  <c r="AN26" i="28"/>
  <c r="AW22" i="28"/>
  <c r="AT28" i="28"/>
  <c r="AT38" i="28"/>
  <c r="AZ39" i="28"/>
  <c r="AE40" i="28"/>
  <c r="AW39" i="28"/>
  <c r="AN38" i="28"/>
  <c r="AW38" i="28"/>
  <c r="AQ26" i="28"/>
  <c r="AZ33" i="28"/>
  <c r="AQ38" i="28"/>
  <c r="AH37" i="28"/>
  <c r="AW36" i="28"/>
  <c r="AW25" i="28"/>
  <c r="AZ40" i="28"/>
  <c r="AE26" i="28"/>
  <c r="AE42" i="28"/>
  <c r="AK22" i="28"/>
  <c r="AQ25" i="28"/>
  <c r="AK36" i="28"/>
  <c r="BC37" i="28"/>
  <c r="AE39" i="28"/>
  <c r="AE41" i="28"/>
  <c r="AE27" i="28"/>
  <c r="AT42" i="28"/>
  <c r="AK24" i="28"/>
  <c r="AT33" i="28"/>
  <c r="BC39" i="28"/>
  <c r="BC29" i="28"/>
  <c r="B25" i="91"/>
  <c r="B24" i="89"/>
  <c r="B28" i="89"/>
  <c r="B21" i="89"/>
  <c r="B24" i="28"/>
  <c r="B22" i="87"/>
  <c r="AE34" i="28"/>
  <c r="B25" i="28"/>
  <c r="B24" i="93"/>
  <c r="B27" i="89"/>
  <c r="B28" i="91"/>
  <c r="B21" i="91"/>
  <c r="B22" i="89"/>
  <c r="AT36" i="28"/>
  <c r="AH25" i="28"/>
  <c r="AK37" i="28"/>
  <c r="AQ28" i="28"/>
  <c r="AW35" i="28"/>
  <c r="AQ21" i="28"/>
  <c r="AN36" i="28"/>
  <c r="AN23" i="28"/>
  <c r="AQ41" i="28"/>
  <c r="AN27" i="28"/>
  <c r="AW42" i="28"/>
  <c r="AK29" i="28"/>
  <c r="AQ35" i="28"/>
  <c r="AN37" i="28"/>
  <c r="AQ24" i="28"/>
  <c r="AZ23" i="28"/>
  <c r="AZ35" i="28"/>
  <c r="BC35" i="28"/>
  <c r="BC36" i="28"/>
  <c r="AZ38" i="28"/>
  <c r="B25" i="93"/>
  <c r="AE22" i="28"/>
  <c r="AE23" i="28"/>
  <c r="AE36" i="28"/>
  <c r="B26" i="28"/>
  <c r="B26" i="87"/>
  <c r="B27" i="91"/>
  <c r="B20" i="93"/>
  <c r="B29" i="91"/>
  <c r="B22" i="91"/>
  <c r="AN35" i="28"/>
  <c r="AT23" i="28"/>
  <c r="AK35" i="28"/>
  <c r="AW23" i="28"/>
  <c r="AQ34" i="28"/>
  <c r="AK20" i="28"/>
  <c r="AH35" i="28"/>
  <c r="AH22" i="28"/>
  <c r="AK40" i="28"/>
  <c r="AH26" i="28"/>
  <c r="AH42" i="28"/>
  <c r="AT26" i="28"/>
  <c r="AW29" i="28"/>
  <c r="AH36" i="28"/>
  <c r="AH23" i="28"/>
  <c r="AQ42" i="28"/>
  <c r="BC20" i="28"/>
  <c r="AZ24" i="28"/>
  <c r="BC21" i="28"/>
  <c r="AZ21" i="28"/>
  <c r="B29" i="89"/>
  <c r="B27" i="28"/>
  <c r="B26" i="89"/>
  <c r="B27" i="93"/>
  <c r="B28" i="93"/>
  <c r="B21" i="93"/>
  <c r="B22" i="93"/>
  <c r="AT34" i="28"/>
  <c r="AT21" i="28"/>
  <c r="AT27" i="28"/>
  <c r="AN42" i="28"/>
  <c r="AK33" i="28"/>
  <c r="AK34" i="28"/>
  <c r="AW33" i="28"/>
  <c r="AW20" i="28"/>
  <c r="AT37" i="28"/>
  <c r="AW24" i="28"/>
  <c r="AW40" i="28"/>
  <c r="AN25" i="28"/>
  <c r="AK27" i="28"/>
  <c r="AW34" i="28"/>
  <c r="AN22" i="28"/>
  <c r="BC27" i="28"/>
  <c r="BC28" i="28"/>
  <c r="BC42" i="28"/>
  <c r="BC34" i="28"/>
  <c r="AZ29" i="28"/>
  <c r="AE21" i="28"/>
  <c r="AE25" i="28"/>
  <c r="AE38" i="28"/>
  <c r="B20" i="28"/>
  <c r="B28" i="28"/>
  <c r="B23" i="89"/>
  <c r="B26" i="91"/>
  <c r="B20" i="87"/>
  <c r="B23" i="91"/>
  <c r="B29" i="93"/>
  <c r="AN33" i="28"/>
  <c r="AN20" i="28"/>
  <c r="AT25" i="28"/>
  <c r="AH41" i="28"/>
  <c r="AQ29" i="28"/>
  <c r="AQ22" i="28"/>
  <c r="AW28" i="28"/>
  <c r="AH20" i="28"/>
  <c r="AT35" i="28"/>
  <c r="AT22" i="28"/>
  <c r="AQ39" i="28"/>
  <c r="AT24" i="28"/>
  <c r="AK25" i="28"/>
  <c r="AH34" i="28"/>
  <c r="AH21" i="28"/>
  <c r="AZ36" i="28"/>
  <c r="AZ37" i="28"/>
  <c r="AZ20" i="28"/>
  <c r="AZ28" i="28"/>
  <c r="BC25" i="28"/>
  <c r="B27" i="87"/>
  <c r="B21" i="28"/>
  <c r="B25" i="87"/>
  <c r="B26" i="93"/>
  <c r="B28" i="87"/>
  <c r="B21" i="87"/>
  <c r="B23" i="93"/>
  <c r="AT29" i="28"/>
  <c r="AW41" i="28"/>
  <c r="AN24" i="28"/>
  <c r="AN40" i="28"/>
  <c r="AK28" i="28"/>
  <c r="AT41" i="28"/>
  <c r="AH28" i="28"/>
  <c r="AN41" i="28"/>
  <c r="AN34" i="28"/>
  <c r="AN21" i="28"/>
  <c r="AK38" i="28"/>
  <c r="AK23" i="28"/>
  <c r="AW21" i="28"/>
  <c r="AH29" i="28"/>
  <c r="AQ20" i="28"/>
  <c r="BC33" i="28"/>
  <c r="BC41" i="28"/>
  <c r="AZ27" i="28"/>
  <c r="BC24" i="28"/>
  <c r="AZ34" i="28"/>
  <c r="B20" i="91"/>
  <c r="B29" i="28"/>
  <c r="B22" i="28"/>
  <c r="B25" i="89"/>
  <c r="B23" i="87"/>
  <c r="B20" i="89"/>
  <c r="B29" i="87"/>
  <c r="AN28" i="28"/>
  <c r="AQ40" i="28"/>
  <c r="AQ23" i="28"/>
  <c r="AH39" i="28"/>
  <c r="AQ27" i="28"/>
  <c r="AT39" i="28"/>
  <c r="AW26" i="28"/>
  <c r="AH38" i="28"/>
  <c r="AH33" i="28"/>
  <c r="AT20" i="28"/>
  <c r="AQ37" i="28"/>
  <c r="AK21" i="28"/>
  <c r="AT40" i="28"/>
  <c r="AW27" i="28"/>
  <c r="BC40" i="28"/>
  <c r="AZ26" i="28"/>
  <c r="BC23" i="28"/>
  <c r="AZ41" i="28"/>
  <c r="AE33" i="28"/>
  <c r="D19" i="93"/>
  <c r="T24" i="28"/>
  <c r="P7" i="46"/>
  <c r="F7" i="46"/>
  <c r="O55" i="46"/>
  <c r="S24" i="93"/>
  <c r="S36" i="93"/>
  <c r="S39" i="93"/>
  <c r="D51" i="28"/>
  <c r="S41" i="93"/>
  <c r="S40" i="93"/>
  <c r="T33" i="28"/>
  <c r="T26" i="28"/>
  <c r="S27" i="93"/>
  <c r="S22" i="93"/>
  <c r="S19" i="28"/>
  <c r="S28" i="93"/>
  <c r="S34" i="93"/>
  <c r="S26" i="93"/>
  <c r="AH19" i="93"/>
  <c r="AH32" i="93" s="1"/>
  <c r="T37" i="28"/>
  <c r="S25" i="93"/>
  <c r="F27" i="46"/>
  <c r="P27" i="46"/>
  <c r="F28" i="46"/>
  <c r="P28" i="46"/>
  <c r="F29" i="46"/>
  <c r="P29" i="46"/>
  <c r="G49" i="46"/>
  <c r="Q49" i="46"/>
  <c r="F55" i="46"/>
  <c r="P55" i="46"/>
  <c r="P21" i="46"/>
  <c r="F21" i="46"/>
  <c r="P30" i="46"/>
  <c r="F30" i="46"/>
  <c r="F56" i="46"/>
  <c r="Q56" i="46" s="1"/>
  <c r="P56" i="46"/>
  <c r="P14" i="46"/>
  <c r="F14" i="46"/>
  <c r="F50" i="46"/>
  <c r="P50" i="46"/>
  <c r="F43" i="46"/>
  <c r="P43" i="46"/>
  <c r="P17" i="46"/>
  <c r="F17" i="46"/>
  <c r="G17" i="46" s="1"/>
  <c r="H17" i="46" s="1"/>
  <c r="F42" i="46"/>
  <c r="P42" i="46"/>
  <c r="G45" i="46"/>
  <c r="Q45" i="46"/>
  <c r="F25" i="46"/>
  <c r="P25" i="46"/>
  <c r="F46" i="46"/>
  <c r="P46" i="46"/>
  <c r="F23" i="46"/>
  <c r="P23" i="46"/>
  <c r="F24" i="46"/>
  <c r="P24" i="46"/>
  <c r="P51" i="46"/>
  <c r="F51" i="46"/>
  <c r="F26" i="46"/>
  <c r="P26" i="46"/>
  <c r="P44" i="46"/>
  <c r="F44" i="46"/>
  <c r="O39" i="46"/>
  <c r="P49" i="46"/>
  <c r="O44" i="46"/>
  <c r="O12" i="46"/>
  <c r="P45" i="46"/>
  <c r="O13" i="46"/>
  <c r="P57" i="46"/>
  <c r="F57" i="46"/>
  <c r="P58" i="46"/>
  <c r="F58" i="46"/>
  <c r="F54" i="46"/>
  <c r="H37" i="46"/>
  <c r="R37" i="46"/>
  <c r="P34" i="46"/>
  <c r="F34" i="46"/>
  <c r="F41" i="46"/>
  <c r="P41" i="46"/>
  <c r="F38" i="46"/>
  <c r="P38" i="46"/>
  <c r="U45" i="87"/>
  <c r="P36" i="46"/>
  <c r="F36" i="46"/>
  <c r="F39" i="46"/>
  <c r="P39" i="46"/>
  <c r="P40" i="46"/>
  <c r="F40" i="46"/>
  <c r="O40" i="46"/>
  <c r="T45" i="87"/>
  <c r="Q37" i="46"/>
  <c r="P12" i="46"/>
  <c r="F12" i="46"/>
  <c r="F13" i="46"/>
  <c r="P13" i="46"/>
  <c r="F15" i="46"/>
  <c r="E18" i="46"/>
  <c r="E8" i="46"/>
  <c r="E16" i="46"/>
  <c r="T21" i="28"/>
  <c r="T112" i="28" s="1"/>
  <c r="S69" i="110" s="1"/>
  <c r="T23" i="28"/>
  <c r="T20" i="28"/>
  <c r="T32" i="28"/>
  <c r="T29" i="28"/>
  <c r="T36" i="28"/>
  <c r="T38" i="28"/>
  <c r="T25" i="28"/>
  <c r="T22" i="28"/>
  <c r="D32" i="28"/>
  <c r="E19" i="28"/>
  <c r="T42" i="28"/>
  <c r="T39" i="28"/>
  <c r="T28" i="28"/>
  <c r="T34" i="28"/>
  <c r="T35" i="28"/>
  <c r="AK19" i="28"/>
  <c r="AK32" i="28" s="1"/>
  <c r="T40" i="28"/>
  <c r="T27" i="28"/>
  <c r="S19" i="91"/>
  <c r="C32" i="91"/>
  <c r="S32" i="91"/>
  <c r="D19" i="91"/>
  <c r="S21" i="93"/>
  <c r="S38" i="93"/>
  <c r="S33" i="93"/>
  <c r="S37" i="93"/>
  <c r="S23" i="93"/>
  <c r="D19" i="87"/>
  <c r="S29" i="93"/>
  <c r="S42" i="93"/>
  <c r="T45" i="28"/>
  <c r="U45" i="91"/>
  <c r="U45" i="28"/>
  <c r="S45" i="93"/>
  <c r="S45" i="89"/>
  <c r="AE45" i="28"/>
  <c r="S45" i="91"/>
  <c r="L49" i="28" l="1"/>
  <c r="AB44" i="28" s="1"/>
  <c r="K49" i="28"/>
  <c r="AA44" i="28" s="1"/>
  <c r="J49" i="28"/>
  <c r="Z44" i="28" s="1"/>
  <c r="I49" i="28"/>
  <c r="Y44" i="28" s="1"/>
  <c r="H49" i="28"/>
  <c r="X44" i="28" s="1"/>
  <c r="D49" i="28"/>
  <c r="T44" i="28" s="1"/>
  <c r="G49" i="28"/>
  <c r="W44" i="28" s="1"/>
  <c r="C49" i="28"/>
  <c r="S44" i="28" s="1"/>
  <c r="C44" i="28" s="1"/>
  <c r="F49" i="28"/>
  <c r="V44" i="28" s="1"/>
  <c r="E49" i="28"/>
  <c r="U44" i="28" s="1"/>
  <c r="E48" i="28"/>
  <c r="U43" i="28" s="1"/>
  <c r="L48" i="28"/>
  <c r="AB43" i="28" s="1"/>
  <c r="D48" i="28"/>
  <c r="T43" i="28" s="1"/>
  <c r="K48" i="28"/>
  <c r="AA43" i="28" s="1"/>
  <c r="H48" i="28"/>
  <c r="X43" i="28" s="1"/>
  <c r="J48" i="28"/>
  <c r="Z43" i="28" s="1"/>
  <c r="I48" i="28"/>
  <c r="Y43" i="28" s="1"/>
  <c r="G48" i="28"/>
  <c r="W43" i="28" s="1"/>
  <c r="C48" i="28"/>
  <c r="F48" i="28"/>
  <c r="V43" i="28" s="1"/>
  <c r="P22" i="46"/>
  <c r="S101" i="93"/>
  <c r="S57" i="93"/>
  <c r="S73" i="93"/>
  <c r="C65" i="87"/>
  <c r="S57" i="87" s="1"/>
  <c r="S73" i="87"/>
  <c r="S101" i="87"/>
  <c r="C65" i="91"/>
  <c r="S57" i="91" s="1"/>
  <c r="S73" i="91"/>
  <c r="S101" i="91"/>
  <c r="S73" i="89"/>
  <c r="S101" i="89"/>
  <c r="C65" i="89"/>
  <c r="S57" i="89" s="1"/>
  <c r="F43" i="91"/>
  <c r="U99" i="91"/>
  <c r="D43" i="91"/>
  <c r="E43" i="87"/>
  <c r="F43" i="87"/>
  <c r="F43" i="89"/>
  <c r="E43" i="89"/>
  <c r="D43" i="89"/>
  <c r="C43" i="89"/>
  <c r="F43" i="93"/>
  <c r="E43" i="93"/>
  <c r="D43" i="93"/>
  <c r="E65" i="93"/>
  <c r="U57" i="93" s="1"/>
  <c r="BX16" i="110" s="1"/>
  <c r="BX30" i="110"/>
  <c r="U101" i="93"/>
  <c r="BX58" i="110" s="1"/>
  <c r="J65" i="91"/>
  <c r="Z57" i="91" s="1"/>
  <c r="BO16" i="110" s="1"/>
  <c r="Z101" i="91"/>
  <c r="BO58" i="110" s="1"/>
  <c r="BO30" i="110"/>
  <c r="E65" i="89"/>
  <c r="U57" i="89" s="1"/>
  <c r="AV16" i="110" s="1"/>
  <c r="AV30" i="110"/>
  <c r="U101" i="89"/>
  <c r="AV58" i="110" s="1"/>
  <c r="M63" i="93"/>
  <c r="F65" i="91"/>
  <c r="V101" i="91"/>
  <c r="BK58" i="110" s="1"/>
  <c r="BK30" i="110"/>
  <c r="H65" i="93"/>
  <c r="X57" i="93" s="1"/>
  <c r="CA16" i="110" s="1"/>
  <c r="X101" i="93"/>
  <c r="CA58" i="110" s="1"/>
  <c r="CA30" i="110"/>
  <c r="F65" i="93"/>
  <c r="V101" i="93"/>
  <c r="BY58" i="110" s="1"/>
  <c r="BY30" i="110"/>
  <c r="AA101" i="91"/>
  <c r="BP58" i="110" s="1"/>
  <c r="BP30" i="110"/>
  <c r="K65" i="91"/>
  <c r="AA57" i="91" s="1"/>
  <c r="BP16" i="110" s="1"/>
  <c r="F65" i="89"/>
  <c r="V101" i="89"/>
  <c r="AW58" i="110" s="1"/>
  <c r="AW30" i="110"/>
  <c r="I65" i="93"/>
  <c r="CB30" i="110"/>
  <c r="Y101" i="93"/>
  <c r="CB58" i="110" s="1"/>
  <c r="J65" i="93"/>
  <c r="Z57" i="93" s="1"/>
  <c r="CC16" i="110" s="1"/>
  <c r="CC30" i="110"/>
  <c r="Z101" i="93"/>
  <c r="CC58" i="110" s="1"/>
  <c r="G65" i="93"/>
  <c r="W57" i="93" s="1"/>
  <c r="BZ16" i="110" s="1"/>
  <c r="BZ30" i="110"/>
  <c r="W101" i="93"/>
  <c r="BZ58" i="110" s="1"/>
  <c r="G65" i="91"/>
  <c r="BL30" i="110"/>
  <c r="W101" i="91"/>
  <c r="BL58" i="110" s="1"/>
  <c r="M63" i="91"/>
  <c r="I65" i="89"/>
  <c r="Y57" i="89" s="1"/>
  <c r="AZ16" i="110" s="1"/>
  <c r="AZ30" i="110"/>
  <c r="Y101" i="89"/>
  <c r="AZ58" i="110" s="1"/>
  <c r="AA101" i="93"/>
  <c r="CD58" i="110" s="1"/>
  <c r="CD30" i="110"/>
  <c r="K65" i="93"/>
  <c r="AA57" i="93" s="1"/>
  <c r="CD16" i="110" s="1"/>
  <c r="E65" i="91"/>
  <c r="BJ30" i="110"/>
  <c r="U101" i="91"/>
  <c r="BJ58" i="110" s="1"/>
  <c r="D65" i="89"/>
  <c r="T57" i="89" s="1"/>
  <c r="AU16" i="110" s="1"/>
  <c r="AU30" i="110"/>
  <c r="T101" i="89"/>
  <c r="AU58" i="110" s="1"/>
  <c r="J65" i="89"/>
  <c r="Z57" i="89" s="1"/>
  <c r="BA16" i="110" s="1"/>
  <c r="Z101" i="89"/>
  <c r="BA58" i="110" s="1"/>
  <c r="BA30" i="110"/>
  <c r="G65" i="89"/>
  <c r="W57" i="89" s="1"/>
  <c r="AX16" i="110" s="1"/>
  <c r="AX30" i="110"/>
  <c r="W101" i="89"/>
  <c r="AX58" i="110" s="1"/>
  <c r="H65" i="89"/>
  <c r="X57" i="89" s="1"/>
  <c r="AY16" i="110" s="1"/>
  <c r="AY30" i="110"/>
  <c r="X101" i="89"/>
  <c r="AY58" i="110" s="1"/>
  <c r="D65" i="93"/>
  <c r="T57" i="93" s="1"/>
  <c r="BW16" i="110" s="1"/>
  <c r="BW30" i="110"/>
  <c r="T101" i="93"/>
  <c r="BW58" i="110" s="1"/>
  <c r="H65" i="91"/>
  <c r="X101" i="91"/>
  <c r="BM58" i="110" s="1"/>
  <c r="BM30" i="110"/>
  <c r="BC30" i="110"/>
  <c r="L65" i="89"/>
  <c r="AB57" i="89" s="1"/>
  <c r="BC16" i="110" s="1"/>
  <c r="AB101" i="89"/>
  <c r="BC58" i="110" s="1"/>
  <c r="M63" i="89"/>
  <c r="D65" i="91"/>
  <c r="T57" i="91" s="1"/>
  <c r="BI16" i="110" s="1"/>
  <c r="BI30" i="110"/>
  <c r="T101" i="91"/>
  <c r="BI58" i="110" s="1"/>
  <c r="L65" i="91"/>
  <c r="AB57" i="91" s="1"/>
  <c r="BQ16" i="110" s="1"/>
  <c r="BQ30" i="110"/>
  <c r="AB101" i="91"/>
  <c r="BQ58" i="110" s="1"/>
  <c r="L65" i="93"/>
  <c r="AB57" i="93" s="1"/>
  <c r="CE16" i="110" s="1"/>
  <c r="CE30" i="110"/>
  <c r="AB101" i="93"/>
  <c r="CE58" i="110" s="1"/>
  <c r="I65" i="91"/>
  <c r="Y101" i="91"/>
  <c r="BN58" i="110" s="1"/>
  <c r="BN30" i="110"/>
  <c r="K65" i="89"/>
  <c r="AA57" i="89" s="1"/>
  <c r="BB16" i="110" s="1"/>
  <c r="AA101" i="89"/>
  <c r="BB58" i="110" s="1"/>
  <c r="BB30" i="110"/>
  <c r="C43" i="91"/>
  <c r="C43" i="87"/>
  <c r="E65" i="87"/>
  <c r="U57" i="87" s="1"/>
  <c r="AH16" i="110" s="1"/>
  <c r="AH30" i="110"/>
  <c r="U101" i="87"/>
  <c r="AH58" i="110" s="1"/>
  <c r="F65" i="87"/>
  <c r="V57" i="87" s="1"/>
  <c r="AI16" i="110" s="1"/>
  <c r="AI30" i="110"/>
  <c r="V101" i="87"/>
  <c r="AI58" i="110" s="1"/>
  <c r="I65" i="87"/>
  <c r="Y57" i="87" s="1"/>
  <c r="AL16" i="110" s="1"/>
  <c r="AL30" i="110"/>
  <c r="Y101" i="87"/>
  <c r="AL58" i="110" s="1"/>
  <c r="G65" i="87"/>
  <c r="W57" i="87" s="1"/>
  <c r="AJ16" i="110" s="1"/>
  <c r="W101" i="87"/>
  <c r="AJ58" i="110" s="1"/>
  <c r="AJ30" i="110"/>
  <c r="C68" i="28"/>
  <c r="C64" i="28" s="1"/>
  <c r="S87" i="28" s="1"/>
  <c r="C67" i="28"/>
  <c r="C63" i="28" s="1"/>
  <c r="J65" i="87"/>
  <c r="Z57" i="87" s="1"/>
  <c r="AM16" i="110" s="1"/>
  <c r="AM30" i="110"/>
  <c r="Z101" i="87"/>
  <c r="AM58" i="110" s="1"/>
  <c r="H65" i="87"/>
  <c r="X57" i="87" s="1"/>
  <c r="AK16" i="110" s="1"/>
  <c r="AK30" i="110"/>
  <c r="X101" i="87"/>
  <c r="AK58" i="110" s="1"/>
  <c r="K65" i="87"/>
  <c r="AA57" i="87" s="1"/>
  <c r="AN16" i="110" s="1"/>
  <c r="AN30" i="110"/>
  <c r="AA101" i="87"/>
  <c r="AN58" i="110" s="1"/>
  <c r="M63" i="87"/>
  <c r="D65" i="87"/>
  <c r="T57" i="87" s="1"/>
  <c r="AG16" i="110" s="1"/>
  <c r="AG30" i="110"/>
  <c r="T101" i="87"/>
  <c r="AG58" i="110" s="1"/>
  <c r="AB101" i="87"/>
  <c r="AO58" i="110" s="1"/>
  <c r="L65" i="87"/>
  <c r="AB57" i="87" s="1"/>
  <c r="AO16" i="110" s="1"/>
  <c r="AO30" i="110"/>
  <c r="S53" i="89"/>
  <c r="S35" i="89"/>
  <c r="D68" i="28"/>
  <c r="D64" i="28" s="1"/>
  <c r="T87" i="28" s="1"/>
  <c r="S53" i="28"/>
  <c r="S35" i="28"/>
  <c r="S53" i="91"/>
  <c r="S35" i="91"/>
  <c r="T98" i="28"/>
  <c r="S55" i="110" s="1"/>
  <c r="F44" i="89"/>
  <c r="F44" i="91"/>
  <c r="F44" i="93"/>
  <c r="F44" i="87"/>
  <c r="E44" i="87"/>
  <c r="E44" i="89"/>
  <c r="E44" i="91"/>
  <c r="E44" i="93"/>
  <c r="D43" i="87"/>
  <c r="E62" i="106"/>
  <c r="E69" i="110" s="1"/>
  <c r="F68" i="28"/>
  <c r="F64" i="28" s="1"/>
  <c r="V87" i="28" s="1"/>
  <c r="G68" i="28"/>
  <c r="G64" i="28" s="1"/>
  <c r="W87" i="28" s="1"/>
  <c r="E68" i="28"/>
  <c r="E64" i="28" s="1"/>
  <c r="U87" i="28" s="1"/>
  <c r="H68" i="28"/>
  <c r="H64" i="28" s="1"/>
  <c r="X87" i="28" s="1"/>
  <c r="L68" i="28"/>
  <c r="L64" i="28" s="1"/>
  <c r="AB87" i="28" s="1"/>
  <c r="K68" i="28"/>
  <c r="K64" i="28" s="1"/>
  <c r="AA87" i="28" s="1"/>
  <c r="J68" i="28"/>
  <c r="J64" i="28" s="1"/>
  <c r="Z87" i="28" s="1"/>
  <c r="I68" i="28"/>
  <c r="I64" i="28" s="1"/>
  <c r="Y87" i="28" s="1"/>
  <c r="G67" i="28"/>
  <c r="G63" i="28" s="1"/>
  <c r="W73" i="28" s="1"/>
  <c r="F67" i="28"/>
  <c r="F63" i="28" s="1"/>
  <c r="V73" i="28" s="1"/>
  <c r="E67" i="28"/>
  <c r="E63" i="28" s="1"/>
  <c r="U73" i="28" s="1"/>
  <c r="L67" i="28"/>
  <c r="L63" i="28" s="1"/>
  <c r="AB73" i="28" s="1"/>
  <c r="D67" i="28"/>
  <c r="D63" i="28" s="1"/>
  <c r="T73" i="28" s="1"/>
  <c r="K67" i="28"/>
  <c r="K63" i="28" s="1"/>
  <c r="AA73" i="28" s="1"/>
  <c r="J67" i="28"/>
  <c r="J63" i="28" s="1"/>
  <c r="Z73" i="28" s="1"/>
  <c r="I67" i="28"/>
  <c r="I63" i="28" s="1"/>
  <c r="Y73" i="28" s="1"/>
  <c r="H67" i="28"/>
  <c r="H63" i="28" s="1"/>
  <c r="X73" i="28" s="1"/>
  <c r="S37" i="87"/>
  <c r="S53" i="87"/>
  <c r="S69" i="91"/>
  <c r="S83" i="91" s="1"/>
  <c r="S97" i="91" s="1"/>
  <c r="S111" i="91" s="1"/>
  <c r="T53" i="91"/>
  <c r="S69" i="28"/>
  <c r="S83" i="28" s="1"/>
  <c r="S97" i="28" s="1"/>
  <c r="S111" i="28" s="1"/>
  <c r="T53" i="28"/>
  <c r="S69" i="89"/>
  <c r="S83" i="89" s="1"/>
  <c r="S97" i="89" s="1"/>
  <c r="S111" i="89" s="1"/>
  <c r="T53" i="89"/>
  <c r="T53" i="93"/>
  <c r="S69" i="93"/>
  <c r="S83" i="93" s="1"/>
  <c r="S97" i="93" s="1"/>
  <c r="S111" i="93" s="1"/>
  <c r="S40" i="89"/>
  <c r="S21" i="89"/>
  <c r="U85" i="87"/>
  <c r="AH42" i="110" s="1"/>
  <c r="X85" i="87"/>
  <c r="AK42" i="110" s="1"/>
  <c r="T85" i="87"/>
  <c r="AG42" i="110" s="1"/>
  <c r="W85" i="87"/>
  <c r="AJ42" i="110" s="1"/>
  <c r="Z85" i="87"/>
  <c r="AM42" i="110" s="1"/>
  <c r="Y85" i="87"/>
  <c r="AL42" i="110" s="1"/>
  <c r="V85" i="87"/>
  <c r="AI42" i="110" s="1"/>
  <c r="S70" i="93"/>
  <c r="BV27" i="110" s="1"/>
  <c r="T84" i="28"/>
  <c r="S41" i="110" s="1"/>
  <c r="T70" i="28"/>
  <c r="S27" i="110" s="1"/>
  <c r="V57" i="89"/>
  <c r="AW16" i="110" s="1"/>
  <c r="S25" i="89"/>
  <c r="AK36" i="93"/>
  <c r="AZ37" i="93"/>
  <c r="AK39" i="93"/>
  <c r="AK37" i="93"/>
  <c r="AZ27" i="93"/>
  <c r="BC40" i="93"/>
  <c r="BC45" i="93"/>
  <c r="AW41" i="93"/>
  <c r="AH33" i="93"/>
  <c r="AI33" i="93" s="1"/>
  <c r="AH20" i="93"/>
  <c r="AI20" i="93" s="1"/>
  <c r="AQ23" i="93"/>
  <c r="AZ36" i="93"/>
  <c r="AQ25" i="93"/>
  <c r="AT26" i="93"/>
  <c r="AT20" i="93"/>
  <c r="AW36" i="93"/>
  <c r="AK20" i="93"/>
  <c r="AE35" i="93"/>
  <c r="AK29" i="93"/>
  <c r="BC22" i="93"/>
  <c r="AZ23" i="93"/>
  <c r="AN26" i="93"/>
  <c r="AE29" i="93"/>
  <c r="AW39" i="93"/>
  <c r="AH42" i="93"/>
  <c r="AI42" i="93" s="1"/>
  <c r="AN28" i="93"/>
  <c r="AQ20" i="93"/>
  <c r="AH21" i="93"/>
  <c r="AI21" i="93" s="1"/>
  <c r="AN45" i="93"/>
  <c r="BC38" i="93"/>
  <c r="BC20" i="93"/>
  <c r="AZ39" i="93"/>
  <c r="AQ21" i="93"/>
  <c r="BC21" i="93"/>
  <c r="AK25" i="93"/>
  <c r="BC24" i="93"/>
  <c r="AN24" i="93"/>
  <c r="AT29" i="93"/>
  <c r="AH28" i="93"/>
  <c r="AI28" i="93" s="1"/>
  <c r="AT33" i="93"/>
  <c r="AK33" i="93"/>
  <c r="AH29" i="93"/>
  <c r="AI29" i="93" s="1"/>
  <c r="AE26" i="93"/>
  <c r="AN35" i="93"/>
  <c r="BC27" i="93"/>
  <c r="BC37" i="93"/>
  <c r="AW21" i="93"/>
  <c r="AK40" i="93"/>
  <c r="AE22" i="93"/>
  <c r="AT38" i="93"/>
  <c r="BC25" i="93"/>
  <c r="AH38" i="93"/>
  <c r="AI38" i="93" s="1"/>
  <c r="AW42" i="93"/>
  <c r="AK35" i="93"/>
  <c r="AE34" i="93"/>
  <c r="AN42" i="93"/>
  <c r="AH40" i="93"/>
  <c r="AI40" i="93" s="1"/>
  <c r="AN27" i="93"/>
  <c r="BC39" i="93"/>
  <c r="AT25" i="93"/>
  <c r="AN39" i="93"/>
  <c r="AK24" i="93"/>
  <c r="AK28" i="93"/>
  <c r="AQ42" i="93"/>
  <c r="AK38" i="93"/>
  <c r="AT45" i="93"/>
  <c r="AT40" i="93"/>
  <c r="AW34" i="93"/>
  <c r="BC28" i="93"/>
  <c r="AZ38" i="93"/>
  <c r="AQ37" i="93"/>
  <c r="AQ22" i="93"/>
  <c r="AE42" i="93"/>
  <c r="AZ24" i="93"/>
  <c r="AN34" i="93"/>
  <c r="AT42" i="93"/>
  <c r="AK22" i="93"/>
  <c r="AE36" i="93"/>
  <c r="AW25" i="93"/>
  <c r="AW22" i="93"/>
  <c r="AQ33" i="93"/>
  <c r="AE28" i="93"/>
  <c r="BC42" i="93"/>
  <c r="AN37" i="93"/>
  <c r="AQ41" i="93"/>
  <c r="AH39" i="93"/>
  <c r="AI39" i="93" s="1"/>
  <c r="AH35" i="93"/>
  <c r="AI35" i="93" s="1"/>
  <c r="AW20" i="93"/>
  <c r="AZ40" i="93"/>
  <c r="AQ34" i="93"/>
  <c r="AZ34" i="93"/>
  <c r="BC29" i="93"/>
  <c r="BC35" i="93"/>
  <c r="AZ42" i="93"/>
  <c r="AQ40" i="93"/>
  <c r="AW27" i="93"/>
  <c r="AK27" i="93"/>
  <c r="AZ35" i="93"/>
  <c r="AW28" i="93"/>
  <c r="AH36" i="93"/>
  <c r="AI36" i="93" s="1"/>
  <c r="AE21" i="93"/>
  <c r="AZ20" i="93"/>
  <c r="AT39" i="93"/>
  <c r="AK34" i="93"/>
  <c r="AH25" i="93"/>
  <c r="AI25" i="93" s="1"/>
  <c r="AH37" i="93"/>
  <c r="AI37" i="93" s="1"/>
  <c r="AQ36" i="93"/>
  <c r="AN25" i="93"/>
  <c r="AE39" i="93"/>
  <c r="AN29" i="93"/>
  <c r="AW45" i="93"/>
  <c r="AK26" i="93"/>
  <c r="AK21" i="93"/>
  <c r="AZ29" i="93"/>
  <c r="BC36" i="93"/>
  <c r="AZ41" i="93"/>
  <c r="AN22" i="93"/>
  <c r="AN40" i="93"/>
  <c r="AK42" i="93"/>
  <c r="AH27" i="93"/>
  <c r="AI27" i="93" s="1"/>
  <c r="AQ38" i="93"/>
  <c r="AQ39" i="93"/>
  <c r="BC23" i="93"/>
  <c r="AK41" i="93"/>
  <c r="AW26" i="93"/>
  <c r="AK23" i="93"/>
  <c r="AN23" i="93"/>
  <c r="AE40" i="93"/>
  <c r="AZ21" i="93"/>
  <c r="AW38" i="93"/>
  <c r="AT27" i="93"/>
  <c r="AH34" i="93"/>
  <c r="AI34" i="93" s="1"/>
  <c r="AW35" i="93"/>
  <c r="AQ28" i="93"/>
  <c r="AH26" i="93"/>
  <c r="AI26" i="93" s="1"/>
  <c r="AW40" i="93"/>
  <c r="AT36" i="93"/>
  <c r="BC26" i="93"/>
  <c r="AZ26" i="93"/>
  <c r="AT41" i="93"/>
  <c r="BC41" i="93"/>
  <c r="AW37" i="93"/>
  <c r="AN33" i="93"/>
  <c r="AE33" i="93"/>
  <c r="AQ24" i="93"/>
  <c r="AE38" i="93"/>
  <c r="AT37" i="93"/>
  <c r="AW24" i="93"/>
  <c r="AZ22" i="93"/>
  <c r="AQ26" i="93"/>
  <c r="AQ35" i="93"/>
  <c r="AN36" i="93"/>
  <c r="AT21" i="93"/>
  <c r="AT22" i="93"/>
  <c r="AQ27" i="93"/>
  <c r="AT23" i="93"/>
  <c r="AN20" i="93"/>
  <c r="AH22" i="93"/>
  <c r="AI22" i="93" s="1"/>
  <c r="AT28" i="93"/>
  <c r="AH44" i="93"/>
  <c r="AI44" i="93" s="1"/>
  <c r="AZ45" i="93"/>
  <c r="AK45" i="93"/>
  <c r="AW33" i="93"/>
  <c r="AH41" i="93"/>
  <c r="AI41" i="93" s="1"/>
  <c r="BC33" i="93"/>
  <c r="AZ33" i="93"/>
  <c r="AZ28" i="93"/>
  <c r="BC34" i="93"/>
  <c r="AH23" i="93"/>
  <c r="AI23" i="93" s="1"/>
  <c r="AQ29" i="93"/>
  <c r="AE27" i="93"/>
  <c r="AN38" i="93"/>
  <c r="AE23" i="93"/>
  <c r="AW23" i="93"/>
  <c r="AE37" i="93"/>
  <c r="AT24" i="93"/>
  <c r="AH24" i="93"/>
  <c r="AI24" i="93" s="1"/>
  <c r="AW29" i="93"/>
  <c r="AN21" i="93"/>
  <c r="AT34" i="93"/>
  <c r="AT35" i="93"/>
  <c r="AN41" i="93"/>
  <c r="AE41" i="93"/>
  <c r="AE25" i="93"/>
  <c r="G48" i="46"/>
  <c r="H48" i="46" s="1"/>
  <c r="G11" i="46"/>
  <c r="F20" i="46"/>
  <c r="Q20" i="46" s="1"/>
  <c r="F3" i="46"/>
  <c r="G3" i="46" s="1"/>
  <c r="S36" i="89"/>
  <c r="S34" i="89"/>
  <c r="S29" i="89"/>
  <c r="S28" i="89"/>
  <c r="S37" i="89"/>
  <c r="F35" i="46"/>
  <c r="G35" i="46" s="1"/>
  <c r="P20" i="46"/>
  <c r="AL41" i="28"/>
  <c r="S34" i="87"/>
  <c r="S20" i="87"/>
  <c r="S38" i="89"/>
  <c r="S27" i="89"/>
  <c r="S22" i="87"/>
  <c r="S36" i="87"/>
  <c r="E19" i="89"/>
  <c r="E32" i="89" s="1"/>
  <c r="S39" i="89"/>
  <c r="S41" i="89"/>
  <c r="S22" i="89"/>
  <c r="D32" i="89"/>
  <c r="S24" i="89"/>
  <c r="S24" i="87"/>
  <c r="S26" i="89"/>
  <c r="S33" i="87"/>
  <c r="S23" i="89"/>
  <c r="S20" i="89"/>
  <c r="S27" i="87"/>
  <c r="S38" i="87"/>
  <c r="S42" i="89"/>
  <c r="F6" i="46"/>
  <c r="P6" i="46"/>
  <c r="T19" i="89"/>
  <c r="T38" i="89" s="1"/>
  <c r="T32" i="89"/>
  <c r="G47" i="46"/>
  <c r="Q47" i="46"/>
  <c r="AL37" i="28"/>
  <c r="AL22" i="28"/>
  <c r="AL45" i="28"/>
  <c r="AL26" i="28"/>
  <c r="AL24" i="28"/>
  <c r="AH45" i="93"/>
  <c r="AI45" i="93" s="1"/>
  <c r="AL42" i="28"/>
  <c r="AL39" i="28"/>
  <c r="AO45" i="28"/>
  <c r="AL35" i="28"/>
  <c r="AH19" i="89"/>
  <c r="AH32" i="89" s="1"/>
  <c r="S33" i="89"/>
  <c r="AL36" i="28"/>
  <c r="AN45" i="89"/>
  <c r="AZ45" i="89"/>
  <c r="AW45" i="89"/>
  <c r="AK45" i="89"/>
  <c r="AT45" i="89"/>
  <c r="AH45" i="89"/>
  <c r="AI45" i="89" s="1"/>
  <c r="AH44" i="89"/>
  <c r="BC45" i="89"/>
  <c r="AQ45" i="89"/>
  <c r="AE25" i="91"/>
  <c r="AH44" i="91"/>
  <c r="BC45" i="91"/>
  <c r="AQ45" i="91"/>
  <c r="AZ45" i="91"/>
  <c r="AN45" i="91"/>
  <c r="AO45" i="91" s="1"/>
  <c r="AW45" i="91"/>
  <c r="AK45" i="91"/>
  <c r="AH45" i="91"/>
  <c r="AI45" i="91" s="1"/>
  <c r="AT45" i="91"/>
  <c r="AW45" i="87"/>
  <c r="AK45" i="87"/>
  <c r="AL45" i="87" s="1"/>
  <c r="BC45" i="87"/>
  <c r="AT45" i="87"/>
  <c r="AH45" i="87"/>
  <c r="AI45" i="87" s="1"/>
  <c r="AE45" i="87"/>
  <c r="AQ45" i="87"/>
  <c r="AN45" i="87"/>
  <c r="AO45" i="87" s="1"/>
  <c r="AZ45" i="87"/>
  <c r="AL34" i="28"/>
  <c r="AL20" i="28"/>
  <c r="AL40" i="28"/>
  <c r="AL25" i="28"/>
  <c r="AL33" i="28"/>
  <c r="AL27" i="28"/>
  <c r="S42" i="87"/>
  <c r="S26" i="87"/>
  <c r="S39" i="87"/>
  <c r="S21" i="87"/>
  <c r="S28" i="87"/>
  <c r="S29" i="87"/>
  <c r="S41" i="87"/>
  <c r="S25" i="87"/>
  <c r="S23" i="87"/>
  <c r="AH19" i="87"/>
  <c r="AH32" i="87" s="1"/>
  <c r="S40" i="87"/>
  <c r="AZ30" i="28"/>
  <c r="AL28" i="28"/>
  <c r="AE30" i="28"/>
  <c r="AL23" i="28"/>
  <c r="BC30" i="28"/>
  <c r="AN30" i="28"/>
  <c r="AK30" i="28"/>
  <c r="AW30" i="28"/>
  <c r="AL29" i="28"/>
  <c r="AQ30" i="28"/>
  <c r="AH30" i="28"/>
  <c r="AT30" i="28"/>
  <c r="AL38" i="28"/>
  <c r="AL21" i="28"/>
  <c r="AE33" i="87"/>
  <c r="AE36" i="87"/>
  <c r="E19" i="93"/>
  <c r="D51" i="93"/>
  <c r="D32" i="93"/>
  <c r="T32" i="93"/>
  <c r="T19" i="93"/>
  <c r="Q7" i="46"/>
  <c r="G7" i="46"/>
  <c r="AE36" i="89"/>
  <c r="S36" i="28"/>
  <c r="S23" i="28"/>
  <c r="S27" i="28"/>
  <c r="S41" i="28"/>
  <c r="S33" i="28"/>
  <c r="S38" i="28"/>
  <c r="S20" i="28"/>
  <c r="S25" i="28"/>
  <c r="S37" i="28"/>
  <c r="S24" i="28"/>
  <c r="S26" i="28"/>
  <c r="S22" i="28"/>
  <c r="S29" i="28"/>
  <c r="S21" i="28"/>
  <c r="S112" i="28" s="1"/>
  <c r="R69" i="110" s="1"/>
  <c r="AH19" i="28"/>
  <c r="AH32" i="28" s="1"/>
  <c r="S42" i="28"/>
  <c r="S28" i="28"/>
  <c r="S34" i="28"/>
  <c r="S40" i="28"/>
  <c r="S39" i="28"/>
  <c r="AZ36" i="89"/>
  <c r="BC26" i="89"/>
  <c r="BC25" i="89"/>
  <c r="BC35" i="89"/>
  <c r="AZ38" i="89"/>
  <c r="AN42" i="89"/>
  <c r="AW27" i="89"/>
  <c r="AQ36" i="89"/>
  <c r="AH42" i="89"/>
  <c r="AT28" i="89"/>
  <c r="AK36" i="89"/>
  <c r="AW41" i="89"/>
  <c r="AN28" i="89"/>
  <c r="AH37" i="89"/>
  <c r="AQ41" i="89"/>
  <c r="AH28" i="89"/>
  <c r="AN20" i="89"/>
  <c r="AQ23" i="89"/>
  <c r="AW20" i="89"/>
  <c r="AT21" i="89"/>
  <c r="AE40" i="89"/>
  <c r="AE25" i="89"/>
  <c r="BC27" i="89"/>
  <c r="AZ22" i="89"/>
  <c r="AZ29" i="89"/>
  <c r="AZ39" i="89"/>
  <c r="BC29" i="89"/>
  <c r="AK41" i="89"/>
  <c r="AT26" i="89"/>
  <c r="AN35" i="89"/>
  <c r="AW39" i="89"/>
  <c r="AQ27" i="89"/>
  <c r="AH35" i="89"/>
  <c r="AT40" i="89"/>
  <c r="AK27" i="89"/>
  <c r="AW34" i="89"/>
  <c r="AN40" i="89"/>
  <c r="AW25" i="89"/>
  <c r="AK40" i="89"/>
  <c r="AN22" i="89"/>
  <c r="AW36" i="89"/>
  <c r="AQ34" i="89"/>
  <c r="AQ20" i="89"/>
  <c r="AE39" i="89"/>
  <c r="BC20" i="89"/>
  <c r="AZ40" i="89"/>
  <c r="AZ21" i="89"/>
  <c r="BC22" i="89"/>
  <c r="BC21" i="89"/>
  <c r="AH40" i="89"/>
  <c r="AQ25" i="89"/>
  <c r="AK34" i="89"/>
  <c r="AT38" i="89"/>
  <c r="AN26" i="89"/>
  <c r="AW33" i="89"/>
  <c r="AQ39" i="89"/>
  <c r="AH26" i="89"/>
  <c r="AQ33" i="89"/>
  <c r="AK39" i="89"/>
  <c r="AT24" i="89"/>
  <c r="AT23" i="89"/>
  <c r="AK21" i="89"/>
  <c r="AQ24" i="89"/>
  <c r="AH24" i="89"/>
  <c r="AE38" i="89"/>
  <c r="AE23" i="89"/>
  <c r="AZ20" i="89"/>
  <c r="BC38" i="89"/>
  <c r="AZ41" i="89"/>
  <c r="AZ37" i="89"/>
  <c r="AZ24" i="89"/>
  <c r="AQ35" i="89"/>
  <c r="AH41" i="89"/>
  <c r="AT27" i="89"/>
  <c r="AK35" i="89"/>
  <c r="AT39" i="89"/>
  <c r="AN27" i="89"/>
  <c r="AH36" i="89"/>
  <c r="AQ40" i="89"/>
  <c r="AH27" i="89"/>
  <c r="AT34" i="89"/>
  <c r="AW23" i="89"/>
  <c r="AK20" i="89"/>
  <c r="AN23" i="89"/>
  <c r="AT35" i="89"/>
  <c r="AQ42" i="89"/>
  <c r="AE34" i="89"/>
  <c r="AE28" i="89"/>
  <c r="BC40" i="89"/>
  <c r="BC39" i="89"/>
  <c r="AZ42" i="89"/>
  <c r="BC24" i="89"/>
  <c r="BC42" i="89"/>
  <c r="AN34" i="89"/>
  <c r="AW38" i="89"/>
  <c r="AQ26" i="89"/>
  <c r="AH34" i="89"/>
  <c r="AQ38" i="89"/>
  <c r="AK26" i="89"/>
  <c r="AT33" i="89"/>
  <c r="AN39" i="89"/>
  <c r="AW24" i="89"/>
  <c r="AN33" i="89"/>
  <c r="AT22" i="89"/>
  <c r="AH39" i="89"/>
  <c r="AK22" i="89"/>
  <c r="AK24" i="89"/>
  <c r="AK33" i="89"/>
  <c r="AE42" i="89"/>
  <c r="AE27" i="89"/>
  <c r="BC33" i="89"/>
  <c r="AZ35" i="89"/>
  <c r="AZ34" i="89"/>
  <c r="AZ28" i="89"/>
  <c r="BC34" i="89"/>
  <c r="AH33" i="89"/>
  <c r="AT37" i="89"/>
  <c r="AN25" i="89"/>
  <c r="AW29" i="89"/>
  <c r="AN37" i="89"/>
  <c r="AH25" i="89"/>
  <c r="AQ29" i="89"/>
  <c r="AK38" i="89"/>
  <c r="AT42" i="89"/>
  <c r="AK29" i="89"/>
  <c r="AQ21" i="89"/>
  <c r="AW26" i="89"/>
  <c r="AH21" i="89"/>
  <c r="AH23" i="89"/>
  <c r="AW22" i="89"/>
  <c r="AE41" i="89"/>
  <c r="AE26" i="89"/>
  <c r="AZ33" i="89"/>
  <c r="AQ37" i="89"/>
  <c r="AW42" i="89"/>
  <c r="AQ22" i="89"/>
  <c r="AZ27" i="89"/>
  <c r="AN36" i="89"/>
  <c r="AT41" i="89"/>
  <c r="AN21" i="89"/>
  <c r="BC36" i="89"/>
  <c r="AW37" i="89"/>
  <c r="AK25" i="89"/>
  <c r="AN29" i="89"/>
  <c r="AH20" i="89"/>
  <c r="BC37" i="89"/>
  <c r="AT36" i="89"/>
  <c r="AW40" i="89"/>
  <c r="AK28" i="89"/>
  <c r="AT25" i="89"/>
  <c r="AZ26" i="89"/>
  <c r="AN24" i="89"/>
  <c r="AT29" i="89"/>
  <c r="AH38" i="89"/>
  <c r="AK23" i="89"/>
  <c r="BC41" i="89"/>
  <c r="AK42" i="89"/>
  <c r="AQ28" i="89"/>
  <c r="AW35" i="89"/>
  <c r="AH22" i="89"/>
  <c r="AE37" i="89"/>
  <c r="AE29" i="89"/>
  <c r="AZ23" i="89"/>
  <c r="AE33" i="89"/>
  <c r="AN38" i="89"/>
  <c r="AN41" i="89"/>
  <c r="AW21" i="89"/>
  <c r="AE35" i="89"/>
  <c r="AE22" i="89"/>
  <c r="BC23" i="89"/>
  <c r="BC28" i="89"/>
  <c r="AW28" i="89"/>
  <c r="AK37" i="89"/>
  <c r="AH29" i="89"/>
  <c r="AT20" i="89"/>
  <c r="AE21" i="89"/>
  <c r="AE36" i="91"/>
  <c r="AE41" i="91"/>
  <c r="AZ40" i="87"/>
  <c r="BC40" i="87"/>
  <c r="AZ36" i="87"/>
  <c r="BC35" i="87"/>
  <c r="BC20" i="87"/>
  <c r="AT41" i="87"/>
  <c r="AK35" i="87"/>
  <c r="AQ28" i="87"/>
  <c r="AW22" i="87"/>
  <c r="AW40" i="87"/>
  <c r="AQ34" i="87"/>
  <c r="AT26" i="87"/>
  <c r="AQ21" i="87"/>
  <c r="AN38" i="87"/>
  <c r="AQ33" i="87"/>
  <c r="AN25" i="87"/>
  <c r="AK20" i="87"/>
  <c r="AH37" i="87"/>
  <c r="AN33" i="87"/>
  <c r="AK25" i="87"/>
  <c r="AH20" i="87"/>
  <c r="AZ33" i="87"/>
  <c r="BC33" i="87"/>
  <c r="AZ26" i="87"/>
  <c r="BC36" i="87"/>
  <c r="AZ37" i="87"/>
  <c r="AK40" i="87"/>
  <c r="AT34" i="87"/>
  <c r="AN27" i="87"/>
  <c r="AK22" i="87"/>
  <c r="AK39" i="87"/>
  <c r="AT40" i="87"/>
  <c r="AH26" i="87"/>
  <c r="AN20" i="87"/>
  <c r="AW37" i="87"/>
  <c r="AW24" i="87"/>
  <c r="AT42" i="87"/>
  <c r="AQ36" i="87"/>
  <c r="AW29" i="87"/>
  <c r="AT24" i="87"/>
  <c r="AZ27" i="87"/>
  <c r="BC27" i="87"/>
  <c r="BC23" i="87"/>
  <c r="BC34" i="87"/>
  <c r="AZ20" i="87"/>
  <c r="AN39" i="87"/>
  <c r="AN42" i="87"/>
  <c r="AW26" i="87"/>
  <c r="AT21" i="87"/>
  <c r="AQ38" i="87"/>
  <c r="AT33" i="87"/>
  <c r="AQ25" i="87"/>
  <c r="AW42" i="87"/>
  <c r="AK37" i="87"/>
  <c r="AN29" i="87"/>
  <c r="AK24" i="87"/>
  <c r="AH41" i="87"/>
  <c r="AN35" i="87"/>
  <c r="AK29" i="87"/>
  <c r="AH24" i="87"/>
  <c r="BC42" i="87"/>
  <c r="AZ23" i="87"/>
  <c r="BC37" i="87"/>
  <c r="AZ35" i="87"/>
  <c r="BC24" i="87"/>
  <c r="BC38" i="87"/>
  <c r="AZ39" i="87"/>
  <c r="AZ22" i="87"/>
  <c r="AZ42" i="87"/>
  <c r="AZ24" i="87"/>
  <c r="AH38" i="87"/>
  <c r="AW33" i="87"/>
  <c r="AT25" i="87"/>
  <c r="AQ20" i="87"/>
  <c r="AW36" i="87"/>
  <c r="AQ29" i="87"/>
  <c r="AW23" i="87"/>
  <c r="AN41" i="87"/>
  <c r="AH36" i="87"/>
  <c r="AK28" i="87"/>
  <c r="AH23" i="87"/>
  <c r="AT39" i="87"/>
  <c r="AK34" i="87"/>
  <c r="AH28" i="87"/>
  <c r="AN22" i="87"/>
  <c r="AZ29" i="87"/>
  <c r="BC41" i="87"/>
  <c r="AZ28" i="87"/>
  <c r="BC26" i="87"/>
  <c r="BC21" i="87"/>
  <c r="AN36" i="87"/>
  <c r="AT29" i="87"/>
  <c r="AQ24" i="87"/>
  <c r="AK42" i="87"/>
  <c r="AT35" i="87"/>
  <c r="AW27" i="87"/>
  <c r="AT22" i="87"/>
  <c r="AW39" i="87"/>
  <c r="AN34" i="87"/>
  <c r="BC28" i="87"/>
  <c r="AZ21" i="87"/>
  <c r="AT38" i="87"/>
  <c r="AN23" i="87"/>
  <c r="AN28" i="87"/>
  <c r="AT36" i="87"/>
  <c r="AQ22" i="87"/>
  <c r="AW41" i="87"/>
  <c r="AW21" i="87"/>
  <c r="AW35" i="87"/>
  <c r="AN24" i="87"/>
  <c r="AK41" i="87"/>
  <c r="AW20" i="87"/>
  <c r="AH34" i="87"/>
  <c r="AT20" i="87"/>
  <c r="AH40" i="87"/>
  <c r="AQ41" i="87"/>
  <c r="AK23" i="87"/>
  <c r="AW28" i="87"/>
  <c r="AN40" i="87"/>
  <c r="AT28" i="87"/>
  <c r="AK33" i="87"/>
  <c r="AN37" i="87"/>
  <c r="AH22" i="87"/>
  <c r="AT27" i="87"/>
  <c r="AW38" i="87"/>
  <c r="AQ27" i="87"/>
  <c r="AZ34" i="87"/>
  <c r="BC29" i="87"/>
  <c r="AH21" i="87"/>
  <c r="AQ35" i="87"/>
  <c r="AQ39" i="87"/>
  <c r="AZ41" i="87"/>
  <c r="AK36" i="87"/>
  <c r="AH27" i="87"/>
  <c r="AN26" i="87"/>
  <c r="AE42" i="87"/>
  <c r="AE34" i="87"/>
  <c r="AE28" i="87"/>
  <c r="BC22" i="87"/>
  <c r="AH35" i="87"/>
  <c r="AQ26" i="87"/>
  <c r="AW25" i="87"/>
  <c r="AE41" i="87"/>
  <c r="AE27" i="87"/>
  <c r="AQ42" i="87"/>
  <c r="AH33" i="87"/>
  <c r="AT23" i="87"/>
  <c r="AQ23" i="87"/>
  <c r="AE40" i="87"/>
  <c r="AE26" i="87"/>
  <c r="AK26" i="87"/>
  <c r="AQ40" i="87"/>
  <c r="AT37" i="87"/>
  <c r="AE37" i="87"/>
  <c r="AE23" i="87"/>
  <c r="AH25" i="87"/>
  <c r="AH39" i="87"/>
  <c r="AW34" i="87"/>
  <c r="AE22" i="87"/>
  <c r="AK21" i="87"/>
  <c r="AE38" i="87"/>
  <c r="AE29" i="87"/>
  <c r="BC39" i="87"/>
  <c r="AE35" i="87"/>
  <c r="AE25" i="87"/>
  <c r="AZ38" i="87"/>
  <c r="AQ37" i="87"/>
  <c r="BC25" i="87"/>
  <c r="AH29" i="87"/>
  <c r="AE21" i="87"/>
  <c r="AK27" i="87"/>
  <c r="AH42" i="87"/>
  <c r="AN21" i="87"/>
  <c r="AK38" i="87"/>
  <c r="AE39" i="87"/>
  <c r="BC41" i="91"/>
  <c r="BC27" i="91"/>
  <c r="AZ35" i="91"/>
  <c r="BC22" i="91"/>
  <c r="AZ26" i="91"/>
  <c r="BC42" i="91"/>
  <c r="AZ37" i="91"/>
  <c r="BC20" i="91"/>
  <c r="BC26" i="91"/>
  <c r="BC36" i="91"/>
  <c r="BC34" i="91"/>
  <c r="BC28" i="91"/>
  <c r="AZ23" i="91"/>
  <c r="AZ22" i="91"/>
  <c r="AZ40" i="91"/>
  <c r="BC29" i="91"/>
  <c r="AZ21" i="91"/>
  <c r="AZ42" i="91"/>
  <c r="AZ41" i="91"/>
  <c r="BC23" i="91"/>
  <c r="BC33" i="91"/>
  <c r="AZ29" i="91"/>
  <c r="AZ28" i="91"/>
  <c r="AZ20" i="91"/>
  <c r="AZ36" i="91"/>
  <c r="AZ27" i="91"/>
  <c r="AQ34" i="91"/>
  <c r="AH21" i="91"/>
  <c r="AN34" i="91"/>
  <c r="AK42" i="91"/>
  <c r="AW28" i="91"/>
  <c r="AW39" i="91"/>
  <c r="AQ27" i="91"/>
  <c r="AQ38" i="91"/>
  <c r="AK26" i="91"/>
  <c r="AN38" i="91"/>
  <c r="AW23" i="91"/>
  <c r="AK38" i="91"/>
  <c r="AT23" i="91"/>
  <c r="AT42" i="91"/>
  <c r="AK39" i="91"/>
  <c r="BC25" i="91"/>
  <c r="AZ38" i="91"/>
  <c r="BC39" i="91"/>
  <c r="AN41" i="91"/>
  <c r="AW26" i="91"/>
  <c r="AK41" i="91"/>
  <c r="AT26" i="91"/>
  <c r="AT37" i="91"/>
  <c r="AN25" i="91"/>
  <c r="AN36" i="91"/>
  <c r="AH24" i="91"/>
  <c r="AH35" i="91"/>
  <c r="AT21" i="91"/>
  <c r="AT33" i="91"/>
  <c r="AN20" i="91"/>
  <c r="AQ33" i="91"/>
  <c r="AK20" i="91"/>
  <c r="AQ41" i="91"/>
  <c r="AT24" i="91"/>
  <c r="BC21" i="91"/>
  <c r="BC37" i="91"/>
  <c r="AK40" i="91"/>
  <c r="AT25" i="91"/>
  <c r="AH40" i="91"/>
  <c r="AQ25" i="91"/>
  <c r="AQ36" i="91"/>
  <c r="AK24" i="91"/>
  <c r="AK35" i="91"/>
  <c r="AW21" i="91"/>
  <c r="AW33" i="91"/>
  <c r="AQ20" i="91"/>
  <c r="AQ29" i="91"/>
  <c r="AW42" i="91"/>
  <c r="AN29" i="91"/>
  <c r="AW35" i="91"/>
  <c r="AK29" i="91"/>
  <c r="AZ39" i="91"/>
  <c r="AQ24" i="91"/>
  <c r="AH33" i="91"/>
  <c r="AK34" i="91"/>
  <c r="AQ37" i="91"/>
  <c r="AT39" i="91"/>
  <c r="AW41" i="91"/>
  <c r="AT22" i="91"/>
  <c r="AH27" i="91"/>
  <c r="AK21" i="91"/>
  <c r="AE39" i="91"/>
  <c r="AZ33" i="91"/>
  <c r="AN23" i="91"/>
  <c r="AW27" i="91"/>
  <c r="AE33" i="91"/>
  <c r="AH34" i="91"/>
  <c r="AN37" i="91"/>
  <c r="AT40" i="91"/>
  <c r="AQ21" i="91"/>
  <c r="AW24" i="91"/>
  <c r="AH20" i="91"/>
  <c r="AE38" i="91"/>
  <c r="BC35" i="91"/>
  <c r="AQ42" i="91"/>
  <c r="AK22" i="91"/>
  <c r="AN24" i="91"/>
  <c r="AT27" i="91"/>
  <c r="AW29" i="91"/>
  <c r="AK36" i="91"/>
  <c r="AQ39" i="91"/>
  <c r="AT41" i="91"/>
  <c r="AQ22" i="91"/>
  <c r="AN40" i="91"/>
  <c r="AE37" i="91"/>
  <c r="AE23" i="91"/>
  <c r="AZ34" i="91"/>
  <c r="AH39" i="91"/>
  <c r="AK23" i="91"/>
  <c r="AQ26" i="91"/>
  <c r="AT28" i="91"/>
  <c r="AT29" i="91"/>
  <c r="AK37" i="91"/>
  <c r="AQ40" i="91"/>
  <c r="AN21" i="91"/>
  <c r="AH28" i="91"/>
  <c r="AE22" i="91"/>
  <c r="BC38" i="91"/>
  <c r="AK33" i="91"/>
  <c r="AT36" i="91"/>
  <c r="AW38" i="91"/>
  <c r="AH42" i="91"/>
  <c r="AT20" i="91"/>
  <c r="AH25" i="91"/>
  <c r="AK27" i="91"/>
  <c r="AW34" i="91"/>
  <c r="AN22" i="91"/>
  <c r="AE27" i="91"/>
  <c r="BC24" i="91"/>
  <c r="AH29" i="91"/>
  <c r="AQ35" i="91"/>
  <c r="AN35" i="91"/>
  <c r="AT38" i="91"/>
  <c r="AW40" i="91"/>
  <c r="AW22" i="91"/>
  <c r="AH26" i="91"/>
  <c r="AK28" i="91"/>
  <c r="AN33" i="91"/>
  <c r="AE40" i="91"/>
  <c r="AE26" i="91"/>
  <c r="AW37" i="91"/>
  <c r="AN27" i="91"/>
  <c r="AW25" i="91"/>
  <c r="AH22" i="91"/>
  <c r="AH36" i="91"/>
  <c r="AZ24" i="91"/>
  <c r="AH41" i="91"/>
  <c r="AN28" i="91"/>
  <c r="BC40" i="91"/>
  <c r="AH23" i="91"/>
  <c r="AN39" i="91"/>
  <c r="AE42" i="91"/>
  <c r="AW20" i="91"/>
  <c r="AH37" i="91"/>
  <c r="AE35" i="91"/>
  <c r="AE29" i="91"/>
  <c r="AW36" i="91"/>
  <c r="AN26" i="91"/>
  <c r="AQ23" i="91"/>
  <c r="AE34" i="91"/>
  <c r="AE28" i="91"/>
  <c r="AT35" i="91"/>
  <c r="AK25" i="91"/>
  <c r="AT34" i="91"/>
  <c r="AE21" i="91"/>
  <c r="AN42" i="91"/>
  <c r="AQ28" i="91"/>
  <c r="AH38" i="91"/>
  <c r="Q26" i="46"/>
  <c r="G26" i="46"/>
  <c r="G46" i="46"/>
  <c r="Q46" i="46"/>
  <c r="G55" i="46"/>
  <c r="Q55" i="46"/>
  <c r="G29" i="46"/>
  <c r="Q29" i="46"/>
  <c r="G56" i="46"/>
  <c r="R56" i="46" s="1"/>
  <c r="G51" i="46"/>
  <c r="Q51" i="46"/>
  <c r="G30" i="46"/>
  <c r="Q30" i="46"/>
  <c r="G25" i="46"/>
  <c r="Q25" i="46"/>
  <c r="G43" i="46"/>
  <c r="Q43" i="46"/>
  <c r="Q17" i="46"/>
  <c r="V45" i="28"/>
  <c r="G44" i="46"/>
  <c r="Q44" i="46"/>
  <c r="R17" i="46"/>
  <c r="G24" i="46"/>
  <c r="Q24" i="46"/>
  <c r="H45" i="46"/>
  <c r="R45" i="46"/>
  <c r="G50" i="46"/>
  <c r="Q50" i="46"/>
  <c r="G22" i="46"/>
  <c r="Q22" i="46"/>
  <c r="R49" i="46"/>
  <c r="H49" i="46"/>
  <c r="G28" i="46"/>
  <c r="Q28" i="46"/>
  <c r="Q14" i="46"/>
  <c r="G14" i="46"/>
  <c r="Q21" i="46"/>
  <c r="G21" i="46"/>
  <c r="R48" i="46"/>
  <c r="G23" i="46"/>
  <c r="Q23" i="46"/>
  <c r="G42" i="46"/>
  <c r="Q42" i="46"/>
  <c r="G27" i="46"/>
  <c r="Q27" i="46"/>
  <c r="G54" i="46"/>
  <c r="G58" i="46"/>
  <c r="Q58" i="46"/>
  <c r="G57" i="46"/>
  <c r="Q57" i="46"/>
  <c r="Q40" i="46"/>
  <c r="G40" i="46"/>
  <c r="G38" i="46"/>
  <c r="W45" i="89" s="1"/>
  <c r="V45" i="87"/>
  <c r="V45" i="89"/>
  <c r="V45" i="93"/>
  <c r="Q38" i="46"/>
  <c r="Q39" i="46"/>
  <c r="G39" i="46"/>
  <c r="Q41" i="46"/>
  <c r="G41" i="46"/>
  <c r="S30" i="93"/>
  <c r="Q36" i="46"/>
  <c r="G36" i="46"/>
  <c r="Q34" i="46"/>
  <c r="G34" i="46"/>
  <c r="I37" i="46"/>
  <c r="S37" i="46"/>
  <c r="Q12" i="46"/>
  <c r="G12" i="46"/>
  <c r="F16" i="46"/>
  <c r="P16" i="46"/>
  <c r="Q13" i="46"/>
  <c r="G13" i="46"/>
  <c r="P8" i="46"/>
  <c r="F8" i="46"/>
  <c r="S17" i="46"/>
  <c r="I17" i="46"/>
  <c r="F18" i="46"/>
  <c r="P18" i="46"/>
  <c r="G15" i="46"/>
  <c r="Q15" i="46"/>
  <c r="S23" i="91"/>
  <c r="S38" i="91"/>
  <c r="AH19" i="91"/>
  <c r="AH32" i="91" s="1"/>
  <c r="S26" i="91"/>
  <c r="S42" i="91"/>
  <c r="S40" i="91"/>
  <c r="S25" i="91"/>
  <c r="S27" i="91"/>
  <c r="S37" i="91"/>
  <c r="S29" i="91"/>
  <c r="S39" i="91"/>
  <c r="S24" i="91"/>
  <c r="S41" i="91"/>
  <c r="S28" i="91"/>
  <c r="S36" i="91"/>
  <c r="S22" i="91"/>
  <c r="S21" i="91"/>
  <c r="S33" i="91"/>
  <c r="S20" i="91"/>
  <c r="S34" i="91"/>
  <c r="D51" i="87"/>
  <c r="T32" i="87"/>
  <c r="D32" i="87"/>
  <c r="E19" i="87"/>
  <c r="T19" i="87"/>
  <c r="T19" i="91"/>
  <c r="T32" i="91"/>
  <c r="E19" i="91"/>
  <c r="D32" i="91"/>
  <c r="D51" i="91"/>
  <c r="T30" i="28"/>
  <c r="T54" i="28" s="1"/>
  <c r="S13" i="110" s="1"/>
  <c r="E51" i="28"/>
  <c r="U32" i="28"/>
  <c r="F19" i="28"/>
  <c r="U19" i="28"/>
  <c r="E32" i="28"/>
  <c r="U45" i="89"/>
  <c r="T45" i="93"/>
  <c r="AE45" i="93"/>
  <c r="T45" i="91"/>
  <c r="U45" i="93"/>
  <c r="AE45" i="91"/>
  <c r="AE45" i="89"/>
  <c r="V45" i="91"/>
  <c r="T45" i="89"/>
  <c r="S43" i="28" l="1"/>
  <c r="C43" i="28" s="1"/>
  <c r="C65" i="28"/>
  <c r="S57" i="28" s="1"/>
  <c r="S101" i="28"/>
  <c r="S73" i="28"/>
  <c r="AC43" i="93"/>
  <c r="R43" i="93" s="1"/>
  <c r="T99" i="93"/>
  <c r="BW56" i="110" s="1"/>
  <c r="U99" i="93"/>
  <c r="BX56" i="110" s="1"/>
  <c r="W99" i="89"/>
  <c r="AX56" i="110" s="1"/>
  <c r="AT30" i="110"/>
  <c r="BD30" i="110" s="1"/>
  <c r="AC73" i="89"/>
  <c r="R73" i="89" s="1"/>
  <c r="BH30" i="110"/>
  <c r="BR30" i="110" s="1"/>
  <c r="AC73" i="91"/>
  <c r="R73" i="91" s="1"/>
  <c r="BV58" i="110"/>
  <c r="CF58" i="110" s="1"/>
  <c r="AC101" i="93"/>
  <c r="R101" i="93" s="1"/>
  <c r="AT58" i="110"/>
  <c r="BD58" i="110" s="1"/>
  <c r="AC101" i="89"/>
  <c r="R101" i="89" s="1"/>
  <c r="M65" i="91"/>
  <c r="BH16" i="110"/>
  <c r="BV30" i="110"/>
  <c r="CF30" i="110" s="1"/>
  <c r="AC73" i="93"/>
  <c r="R73" i="93" s="1"/>
  <c r="M65" i="89"/>
  <c r="AT16" i="110"/>
  <c r="BD16" i="110" s="1"/>
  <c r="BH58" i="110"/>
  <c r="BR58" i="110" s="1"/>
  <c r="AC101" i="91"/>
  <c r="R101" i="91" s="1"/>
  <c r="M65" i="93"/>
  <c r="BV16" i="110"/>
  <c r="AC43" i="91"/>
  <c r="R43" i="91" s="1"/>
  <c r="Y115" i="28"/>
  <c r="X115" i="28"/>
  <c r="V115" i="28"/>
  <c r="J65" i="28"/>
  <c r="Z57" i="28" s="1"/>
  <c r="W115" i="28"/>
  <c r="T115" i="28"/>
  <c r="T99" i="89"/>
  <c r="AU56" i="110" s="1"/>
  <c r="U99" i="89"/>
  <c r="AV56" i="110" s="1"/>
  <c r="V99" i="89"/>
  <c r="AW56" i="110" s="1"/>
  <c r="T99" i="91"/>
  <c r="BI56" i="110" s="1"/>
  <c r="V99" i="91"/>
  <c r="BK56" i="110" s="1"/>
  <c r="BJ56" i="110"/>
  <c r="U100" i="91"/>
  <c r="BJ57" i="110" s="1"/>
  <c r="AF58" i="110"/>
  <c r="AP58" i="110" s="1"/>
  <c r="AC101" i="87"/>
  <c r="R101" i="87" s="1"/>
  <c r="M65" i="87"/>
  <c r="F44" i="28"/>
  <c r="E43" i="91"/>
  <c r="AF30" i="110"/>
  <c r="AP30" i="110" s="1"/>
  <c r="AC73" i="87"/>
  <c r="R73" i="87" s="1"/>
  <c r="V99" i="87"/>
  <c r="AI56" i="110" s="1"/>
  <c r="T99" i="87"/>
  <c r="U99" i="87"/>
  <c r="E43" i="28"/>
  <c r="E44" i="28"/>
  <c r="D44" i="28"/>
  <c r="AK44" i="28" s="1"/>
  <c r="F43" i="28"/>
  <c r="D43" i="28"/>
  <c r="G43" i="28"/>
  <c r="S98" i="28"/>
  <c r="R55" i="110" s="1"/>
  <c r="E48" i="106"/>
  <c r="E55" i="110" s="1"/>
  <c r="G43" i="87"/>
  <c r="G44" i="89"/>
  <c r="G43" i="89"/>
  <c r="G44" i="87"/>
  <c r="G44" i="91"/>
  <c r="G43" i="91"/>
  <c r="G43" i="93"/>
  <c r="G44" i="93"/>
  <c r="G44" i="28"/>
  <c r="D62" i="106"/>
  <c r="D69" i="110" s="1"/>
  <c r="AI39" i="28"/>
  <c r="AI29" i="28"/>
  <c r="AI40" i="28"/>
  <c r="AI41" i="28"/>
  <c r="S84" i="87"/>
  <c r="AF41" i="110" s="1"/>
  <c r="AI34" i="28"/>
  <c r="AI27" i="28"/>
  <c r="AI38" i="28"/>
  <c r="S54" i="93"/>
  <c r="BV13" i="110" s="1"/>
  <c r="AI28" i="28"/>
  <c r="AI24" i="28"/>
  <c r="AI37" i="87"/>
  <c r="AI42" i="28"/>
  <c r="AI37" i="28"/>
  <c r="AI36" i="28"/>
  <c r="AI23" i="28"/>
  <c r="AI22" i="28"/>
  <c r="T101" i="28"/>
  <c r="H65" i="28"/>
  <c r="X57" i="28" s="1"/>
  <c r="T113" i="28"/>
  <c r="S70" i="110" s="1"/>
  <c r="AA115" i="28"/>
  <c r="S115" i="28"/>
  <c r="AB115" i="28"/>
  <c r="AA101" i="28"/>
  <c r="K65" i="28"/>
  <c r="AA57" i="28" s="1"/>
  <c r="AB101" i="28"/>
  <c r="L65" i="28"/>
  <c r="AB57" i="28" s="1"/>
  <c r="T99" i="28"/>
  <c r="S56" i="110" s="1"/>
  <c r="Q3" i="46"/>
  <c r="AI40" i="89"/>
  <c r="AR45" i="28"/>
  <c r="AR45" i="93"/>
  <c r="V99" i="93"/>
  <c r="BY56" i="110" s="1"/>
  <c r="T69" i="93"/>
  <c r="T83" i="93" s="1"/>
  <c r="T97" i="93" s="1"/>
  <c r="T111" i="93" s="1"/>
  <c r="U53" i="93"/>
  <c r="S69" i="87"/>
  <c r="S83" i="87" s="1"/>
  <c r="S97" i="87" s="1"/>
  <c r="S111" i="87" s="1"/>
  <c r="T53" i="87"/>
  <c r="T69" i="89"/>
  <c r="T83" i="89" s="1"/>
  <c r="T97" i="89" s="1"/>
  <c r="T111" i="89" s="1"/>
  <c r="U53" i="89"/>
  <c r="T69" i="28"/>
  <c r="T83" i="28" s="1"/>
  <c r="T97" i="28" s="1"/>
  <c r="T111" i="28" s="1"/>
  <c r="U53" i="28"/>
  <c r="U53" i="91"/>
  <c r="T69" i="91"/>
  <c r="T83" i="91" s="1"/>
  <c r="T97" i="91" s="1"/>
  <c r="T111" i="91" s="1"/>
  <c r="W101" i="28"/>
  <c r="V101" i="28"/>
  <c r="X101" i="28"/>
  <c r="Z101" i="28"/>
  <c r="U101" i="28"/>
  <c r="F19" i="89"/>
  <c r="V32" i="89" s="1"/>
  <c r="S85" i="87"/>
  <c r="AF42" i="110" s="1"/>
  <c r="S84" i="28"/>
  <c r="R41" i="110" s="1"/>
  <c r="S70" i="91"/>
  <c r="BH27" i="110" s="1"/>
  <c r="AI21" i="28"/>
  <c r="S70" i="28"/>
  <c r="R27" i="110" s="1"/>
  <c r="S70" i="89"/>
  <c r="AT27" i="110" s="1"/>
  <c r="S70" i="87"/>
  <c r="AF27" i="110" s="1"/>
  <c r="T85" i="28"/>
  <c r="S42" i="110" s="1"/>
  <c r="AI25" i="89"/>
  <c r="W57" i="91"/>
  <c r="BL16" i="110" s="1"/>
  <c r="V57" i="91"/>
  <c r="BK16" i="110" s="1"/>
  <c r="U57" i="91"/>
  <c r="BJ16" i="110" s="1"/>
  <c r="V57" i="93"/>
  <c r="BY16" i="110" s="1"/>
  <c r="Y57" i="91"/>
  <c r="BN16" i="110" s="1"/>
  <c r="X57" i="91"/>
  <c r="BM16" i="110" s="1"/>
  <c r="Y57" i="93"/>
  <c r="CB16" i="110" s="1"/>
  <c r="U19" i="89"/>
  <c r="U41" i="89" s="1"/>
  <c r="AO41" i="89" s="1"/>
  <c r="U32" i="89"/>
  <c r="E51" i="89"/>
  <c r="AO45" i="93"/>
  <c r="AL45" i="93"/>
  <c r="BC30" i="93"/>
  <c r="AT30" i="93"/>
  <c r="AN30" i="93"/>
  <c r="AW30" i="93"/>
  <c r="AK30" i="93"/>
  <c r="AE30" i="93"/>
  <c r="AQ30" i="93"/>
  <c r="AZ30" i="93"/>
  <c r="AH30" i="93"/>
  <c r="AI30" i="93" s="1"/>
  <c r="AI39" i="89"/>
  <c r="AI34" i="89"/>
  <c r="AI23" i="89"/>
  <c r="AI21" i="89"/>
  <c r="AI24" i="89"/>
  <c r="AI38" i="89"/>
  <c r="AI33" i="87"/>
  <c r="H11" i="46"/>
  <c r="R11" i="46"/>
  <c r="AI28" i="89"/>
  <c r="G20" i="46"/>
  <c r="AI29" i="89"/>
  <c r="AI37" i="89"/>
  <c r="AI36" i="87"/>
  <c r="AI42" i="89"/>
  <c r="AI36" i="89"/>
  <c r="AI27" i="87"/>
  <c r="Q35" i="46"/>
  <c r="AI34" i="87"/>
  <c r="AI26" i="89"/>
  <c r="AI35" i="89"/>
  <c r="AI22" i="87"/>
  <c r="AI41" i="89"/>
  <c r="AI20" i="89"/>
  <c r="W45" i="93"/>
  <c r="W45" i="91"/>
  <c r="T41" i="89"/>
  <c r="AL41" i="89" s="1"/>
  <c r="S30" i="89"/>
  <c r="T42" i="89"/>
  <c r="AL42" i="89" s="1"/>
  <c r="T20" i="89"/>
  <c r="T24" i="89"/>
  <c r="AL24" i="89" s="1"/>
  <c r="T40" i="89"/>
  <c r="AL40" i="89" s="1"/>
  <c r="AI22" i="89"/>
  <c r="T26" i="89"/>
  <c r="AL26" i="89" s="1"/>
  <c r="T36" i="89"/>
  <c r="AL36" i="89" s="1"/>
  <c r="AI38" i="87"/>
  <c r="T34" i="89"/>
  <c r="AL34" i="89" s="1"/>
  <c r="T37" i="89"/>
  <c r="AL37" i="89" s="1"/>
  <c r="T27" i="89"/>
  <c r="AL27" i="89" s="1"/>
  <c r="T29" i="89"/>
  <c r="AL29" i="89" s="1"/>
  <c r="T21" i="89"/>
  <c r="AL21" i="89" s="1"/>
  <c r="T39" i="89"/>
  <c r="AL39" i="89" s="1"/>
  <c r="T23" i="89"/>
  <c r="AL23" i="89" s="1"/>
  <c r="AK19" i="89"/>
  <c r="AK32" i="89" s="1"/>
  <c r="AI24" i="87"/>
  <c r="T35" i="89"/>
  <c r="AL35" i="89" s="1"/>
  <c r="T28" i="89"/>
  <c r="AL28" i="89" s="1"/>
  <c r="T33" i="89"/>
  <c r="T22" i="89"/>
  <c r="AL22" i="89" s="1"/>
  <c r="AL38" i="89"/>
  <c r="T25" i="89"/>
  <c r="AL25" i="89" s="1"/>
  <c r="AI33" i="89"/>
  <c r="Q6" i="46"/>
  <c r="G6" i="46"/>
  <c r="AI28" i="87"/>
  <c r="H47" i="46"/>
  <c r="R47" i="46"/>
  <c r="AI41" i="87"/>
  <c r="AI35" i="28"/>
  <c r="AR45" i="87"/>
  <c r="AL45" i="91"/>
  <c r="AR45" i="91"/>
  <c r="AI44" i="89"/>
  <c r="AL45" i="89"/>
  <c r="AI44" i="91"/>
  <c r="AR45" i="89"/>
  <c r="AU45" i="89"/>
  <c r="AO45" i="89"/>
  <c r="AI42" i="87"/>
  <c r="AI25" i="28"/>
  <c r="AI25" i="87"/>
  <c r="AI35" i="87"/>
  <c r="AI26" i="28"/>
  <c r="AI23" i="87"/>
  <c r="AI26" i="87"/>
  <c r="AI40" i="87"/>
  <c r="AI21" i="87"/>
  <c r="S30" i="87"/>
  <c r="AI39" i="87"/>
  <c r="AI29" i="87"/>
  <c r="AL30" i="28"/>
  <c r="AI24" i="91"/>
  <c r="U32" i="93"/>
  <c r="U19" i="93"/>
  <c r="F19" i="93"/>
  <c r="E51" i="93"/>
  <c r="E32" i="93"/>
  <c r="AW30" i="91"/>
  <c r="AK19" i="93"/>
  <c r="AK32" i="93" s="1"/>
  <c r="T35" i="93"/>
  <c r="T36" i="93"/>
  <c r="T41" i="93"/>
  <c r="T21" i="93"/>
  <c r="T27" i="93"/>
  <c r="T42" i="93"/>
  <c r="T26" i="93"/>
  <c r="T29" i="93"/>
  <c r="T37" i="93"/>
  <c r="T25" i="93"/>
  <c r="T40" i="93"/>
  <c r="T22" i="93"/>
  <c r="T38" i="93"/>
  <c r="T24" i="93"/>
  <c r="T34" i="93"/>
  <c r="T33" i="93"/>
  <c r="T39" i="93"/>
  <c r="T23" i="93"/>
  <c r="T28" i="93"/>
  <c r="T20" i="93"/>
  <c r="H56" i="46"/>
  <c r="S56" i="46" s="1"/>
  <c r="H7" i="46"/>
  <c r="R7" i="46"/>
  <c r="AN30" i="89"/>
  <c r="AI20" i="28"/>
  <c r="S30" i="28"/>
  <c r="AK30" i="89"/>
  <c r="AZ30" i="89"/>
  <c r="AT30" i="89"/>
  <c r="AQ30" i="89"/>
  <c r="AW30" i="89"/>
  <c r="AI33" i="28"/>
  <c r="AE30" i="89"/>
  <c r="BC30" i="89"/>
  <c r="AH30" i="89"/>
  <c r="AI27" i="89"/>
  <c r="AI27" i="91"/>
  <c r="AQ30" i="91"/>
  <c r="AN30" i="91"/>
  <c r="AZ30" i="91"/>
  <c r="AT30" i="87"/>
  <c r="BC30" i="91"/>
  <c r="AW30" i="87"/>
  <c r="AZ30" i="87"/>
  <c r="AH30" i="87"/>
  <c r="BC30" i="87"/>
  <c r="AE30" i="91"/>
  <c r="AT30" i="91"/>
  <c r="AE30" i="87"/>
  <c r="AQ30" i="87"/>
  <c r="AN30" i="87"/>
  <c r="AH30" i="91"/>
  <c r="AK30" i="91"/>
  <c r="AK30" i="87"/>
  <c r="AI20" i="87"/>
  <c r="R27" i="46"/>
  <c r="H27" i="46"/>
  <c r="I48" i="46"/>
  <c r="S48" i="46"/>
  <c r="S49" i="46"/>
  <c r="I49" i="46"/>
  <c r="R25" i="46"/>
  <c r="H25" i="46"/>
  <c r="R29" i="46"/>
  <c r="H29" i="46"/>
  <c r="R24" i="46"/>
  <c r="H24" i="46"/>
  <c r="H42" i="46"/>
  <c r="R42" i="46"/>
  <c r="R21" i="46"/>
  <c r="H21" i="46"/>
  <c r="H55" i="46"/>
  <c r="R55" i="46"/>
  <c r="I45" i="46"/>
  <c r="S45" i="46"/>
  <c r="R22" i="46"/>
  <c r="H22" i="46"/>
  <c r="R30" i="46"/>
  <c r="H30" i="46"/>
  <c r="R23" i="46"/>
  <c r="H23" i="46"/>
  <c r="H14" i="46"/>
  <c r="R14" i="46"/>
  <c r="R46" i="46"/>
  <c r="H46" i="46"/>
  <c r="R28" i="46"/>
  <c r="H28" i="46"/>
  <c r="H50" i="46"/>
  <c r="R50" i="46"/>
  <c r="H51" i="46"/>
  <c r="R51" i="46"/>
  <c r="R26" i="46"/>
  <c r="H26" i="46"/>
  <c r="R44" i="46"/>
  <c r="H44" i="46"/>
  <c r="R43" i="46"/>
  <c r="H43" i="46"/>
  <c r="H57" i="46"/>
  <c r="R57" i="46"/>
  <c r="H54" i="46"/>
  <c r="R58" i="46"/>
  <c r="H58" i="46"/>
  <c r="H36" i="46"/>
  <c r="R36" i="46"/>
  <c r="J37" i="46"/>
  <c r="T37" i="46"/>
  <c r="R41" i="46"/>
  <c r="H41" i="46"/>
  <c r="H35" i="46"/>
  <c r="R35" i="46"/>
  <c r="H39" i="46"/>
  <c r="R39" i="46"/>
  <c r="R38" i="46"/>
  <c r="H38" i="46"/>
  <c r="W45" i="87"/>
  <c r="W99" i="87" s="1"/>
  <c r="AJ56" i="110" s="1"/>
  <c r="W45" i="28"/>
  <c r="H34" i="46"/>
  <c r="R34" i="46"/>
  <c r="R40" i="46"/>
  <c r="H40" i="46"/>
  <c r="Q16" i="46"/>
  <c r="G16" i="46"/>
  <c r="H15" i="46"/>
  <c r="R15" i="46"/>
  <c r="H12" i="46"/>
  <c r="R12" i="46"/>
  <c r="G18" i="46"/>
  <c r="Q18" i="46"/>
  <c r="J17" i="46"/>
  <c r="T17" i="46"/>
  <c r="R13" i="46"/>
  <c r="H13" i="46"/>
  <c r="G8" i="46"/>
  <c r="Q8" i="46"/>
  <c r="U19" i="91"/>
  <c r="F19" i="91"/>
  <c r="E32" i="91"/>
  <c r="U32" i="91"/>
  <c r="E51" i="91"/>
  <c r="AI40" i="91"/>
  <c r="AI41" i="91"/>
  <c r="AI42" i="91"/>
  <c r="AI34" i="91"/>
  <c r="AI35" i="91"/>
  <c r="AK19" i="91"/>
  <c r="AK32" i="91" s="1"/>
  <c r="T20" i="91"/>
  <c r="T42" i="91"/>
  <c r="AL42" i="91" s="1"/>
  <c r="T29" i="91"/>
  <c r="AL29" i="91" s="1"/>
  <c r="T39" i="91"/>
  <c r="AL39" i="91" s="1"/>
  <c r="T37" i="91"/>
  <c r="AL37" i="91" s="1"/>
  <c r="T36" i="91"/>
  <c r="AL36" i="91" s="1"/>
  <c r="T33" i="91"/>
  <c r="T41" i="91"/>
  <c r="AL41" i="91" s="1"/>
  <c r="T24" i="91"/>
  <c r="AL24" i="91" s="1"/>
  <c r="T38" i="91"/>
  <c r="AL38" i="91" s="1"/>
  <c r="T26" i="91"/>
  <c r="AL26" i="91" s="1"/>
  <c r="T35" i="91"/>
  <c r="AL35" i="91" s="1"/>
  <c r="T25" i="91"/>
  <c r="AL25" i="91" s="1"/>
  <c r="T34" i="91"/>
  <c r="AL34" i="91" s="1"/>
  <c r="T21" i="91"/>
  <c r="AL21" i="91" s="1"/>
  <c r="T27" i="91"/>
  <c r="AL27" i="91" s="1"/>
  <c r="T23" i="91"/>
  <c r="AL23" i="91" s="1"/>
  <c r="T40" i="91"/>
  <c r="AL40" i="91" s="1"/>
  <c r="T28" i="91"/>
  <c r="AL28" i="91" s="1"/>
  <c r="T22" i="91"/>
  <c r="AL22" i="91" s="1"/>
  <c r="AK19" i="87"/>
  <c r="AK32" i="87" s="1"/>
  <c r="T34" i="87"/>
  <c r="T21" i="87"/>
  <c r="T84" i="87" s="1"/>
  <c r="AG41" i="110" s="1"/>
  <c r="T35" i="87"/>
  <c r="T27" i="87"/>
  <c r="T22" i="87"/>
  <c r="T42" i="87"/>
  <c r="T23" i="87"/>
  <c r="T40" i="87"/>
  <c r="T24" i="87"/>
  <c r="T37" i="87"/>
  <c r="AL37" i="87" s="1"/>
  <c r="T36" i="87"/>
  <c r="T29" i="87"/>
  <c r="T39" i="87"/>
  <c r="T33" i="87"/>
  <c r="T25" i="87"/>
  <c r="T20" i="87"/>
  <c r="T41" i="87"/>
  <c r="T26" i="87"/>
  <c r="T28" i="87"/>
  <c r="T38" i="87"/>
  <c r="AI20" i="91"/>
  <c r="S30" i="91"/>
  <c r="AI39" i="91"/>
  <c r="AI26" i="91"/>
  <c r="U19" i="87"/>
  <c r="F19" i="87"/>
  <c r="U32" i="87"/>
  <c r="E51" i="87"/>
  <c r="E32" i="87"/>
  <c r="AI33" i="91"/>
  <c r="AI29" i="91"/>
  <c r="AI21" i="91"/>
  <c r="AI37" i="91"/>
  <c r="AI38" i="91"/>
  <c r="AI28" i="91"/>
  <c r="H3" i="46"/>
  <c r="R3" i="46"/>
  <c r="U22" i="28"/>
  <c r="U23" i="28"/>
  <c r="U40" i="28"/>
  <c r="U41" i="28"/>
  <c r="U36" i="28"/>
  <c r="U26" i="28"/>
  <c r="U21" i="28"/>
  <c r="U112" i="28" s="1"/>
  <c r="T69" i="110" s="1"/>
  <c r="U38" i="28"/>
  <c r="U24" i="28"/>
  <c r="AN19" i="28"/>
  <c r="AN32" i="28" s="1"/>
  <c r="U39" i="28"/>
  <c r="U29" i="28"/>
  <c r="U35" i="28"/>
  <c r="U27" i="28"/>
  <c r="U37" i="28"/>
  <c r="U20" i="28"/>
  <c r="U33" i="28"/>
  <c r="U25" i="28"/>
  <c r="U34" i="28"/>
  <c r="U28" i="28"/>
  <c r="U42" i="28"/>
  <c r="AI22" i="91"/>
  <c r="AI23" i="91"/>
  <c r="V19" i="28"/>
  <c r="F32" i="28"/>
  <c r="F51" i="28"/>
  <c r="G19" i="28"/>
  <c r="V32" i="28"/>
  <c r="AI36" i="91"/>
  <c r="AI25" i="91"/>
  <c r="S71" i="93" l="1"/>
  <c r="BV28" i="110" s="1"/>
  <c r="C43" i="93"/>
  <c r="U58" i="110"/>
  <c r="T58" i="110"/>
  <c r="V58" i="110"/>
  <c r="Z58" i="110"/>
  <c r="S58" i="110"/>
  <c r="S99" i="93"/>
  <c r="BV56" i="110" s="1"/>
  <c r="Y58" i="110"/>
  <c r="AA72" i="110"/>
  <c r="W58" i="110"/>
  <c r="AA58" i="110"/>
  <c r="Z72" i="110"/>
  <c r="AA16" i="110"/>
  <c r="AA30" i="110"/>
  <c r="Z44" i="110"/>
  <c r="S30" i="110"/>
  <c r="U30" i="110"/>
  <c r="Z16" i="110"/>
  <c r="X30" i="110"/>
  <c r="Z30" i="110"/>
  <c r="W16" i="110"/>
  <c r="T30" i="110"/>
  <c r="V30" i="110"/>
  <c r="W30" i="110"/>
  <c r="Y16" i="110"/>
  <c r="T44" i="110"/>
  <c r="Y30" i="110"/>
  <c r="AA44" i="110"/>
  <c r="R72" i="110"/>
  <c r="R30" i="110"/>
  <c r="R58" i="110"/>
  <c r="T100" i="93"/>
  <c r="BW57" i="110" s="1"/>
  <c r="U100" i="93"/>
  <c r="BX57" i="110" s="1"/>
  <c r="S71" i="89"/>
  <c r="AT28" i="110" s="1"/>
  <c r="U100" i="89"/>
  <c r="AV57" i="110" s="1"/>
  <c r="S99" i="89"/>
  <c r="AT56" i="110" s="1"/>
  <c r="V100" i="89"/>
  <c r="AW57" i="110" s="1"/>
  <c r="W100" i="89"/>
  <c r="AX57" i="110" s="1"/>
  <c r="AC43" i="89"/>
  <c r="R43" i="89" s="1"/>
  <c r="AC43" i="87"/>
  <c r="R43" i="87" s="1"/>
  <c r="S71" i="87"/>
  <c r="AF28" i="110" s="1"/>
  <c r="F65" i="28"/>
  <c r="V57" i="28" s="1"/>
  <c r="G65" i="28"/>
  <c r="W57" i="28" s="1"/>
  <c r="AC57" i="89"/>
  <c r="R57" i="89" s="1"/>
  <c r="S99" i="91"/>
  <c r="BH56" i="110" s="1"/>
  <c r="S71" i="91"/>
  <c r="BH28" i="110" s="1"/>
  <c r="AH43" i="91"/>
  <c r="AH46" i="91" s="1"/>
  <c r="S99" i="87"/>
  <c r="S100" i="87" s="1"/>
  <c r="S99" i="28"/>
  <c r="R56" i="110" s="1"/>
  <c r="D65" i="28"/>
  <c r="T57" i="28" s="1"/>
  <c r="U72" i="110"/>
  <c r="G65" i="106"/>
  <c r="G72" i="110" s="1"/>
  <c r="W72" i="110"/>
  <c r="I65" i="106"/>
  <c r="I72" i="110" s="1"/>
  <c r="U115" i="28"/>
  <c r="E65" i="28"/>
  <c r="U57" i="28" s="1"/>
  <c r="S72" i="110"/>
  <c r="E65" i="106"/>
  <c r="E72" i="110" s="1"/>
  <c r="V72" i="110"/>
  <c r="H65" i="106"/>
  <c r="H72" i="110" s="1"/>
  <c r="X72" i="110"/>
  <c r="J65" i="106"/>
  <c r="J72" i="110" s="1"/>
  <c r="Z115" i="28"/>
  <c r="M64" i="28"/>
  <c r="D25" i="102" s="1"/>
  <c r="T100" i="89"/>
  <c r="AU57" i="110" s="1"/>
  <c r="T100" i="91"/>
  <c r="BI57" i="110" s="1"/>
  <c r="U113" i="28"/>
  <c r="T70" i="110" s="1"/>
  <c r="U102" i="91"/>
  <c r="U103" i="91" s="1"/>
  <c r="V100" i="87"/>
  <c r="AI57" i="110" s="1"/>
  <c r="V100" i="91"/>
  <c r="BK57" i="110" s="1"/>
  <c r="AF16" i="110"/>
  <c r="AP16" i="110" s="1"/>
  <c r="AC57" i="87"/>
  <c r="R57" i="87" s="1"/>
  <c r="AH56" i="110"/>
  <c r="U100" i="87"/>
  <c r="AG56" i="110"/>
  <c r="T100" i="87"/>
  <c r="S113" i="28"/>
  <c r="R70" i="110" s="1"/>
  <c r="H44" i="28"/>
  <c r="D48" i="106"/>
  <c r="D55" i="110" s="1"/>
  <c r="U98" i="28"/>
  <c r="T55" i="110" s="1"/>
  <c r="M63" i="28"/>
  <c r="D23" i="102" s="1"/>
  <c r="Y101" i="28"/>
  <c r="I65" i="28"/>
  <c r="Y57" i="28" s="1"/>
  <c r="J23" i="106"/>
  <c r="J30" i="110" s="1"/>
  <c r="H43" i="89"/>
  <c r="H43" i="87"/>
  <c r="H44" i="87"/>
  <c r="H44" i="89"/>
  <c r="H43" i="91"/>
  <c r="H43" i="93"/>
  <c r="H44" i="93"/>
  <c r="H44" i="91"/>
  <c r="H43" i="28"/>
  <c r="U37" i="46"/>
  <c r="K37" i="46"/>
  <c r="V19" i="89"/>
  <c r="U36" i="89"/>
  <c r="AO36" i="89" s="1"/>
  <c r="F37" i="106"/>
  <c r="F44" i="110" s="1"/>
  <c r="CF16" i="110"/>
  <c r="BR16" i="110"/>
  <c r="K23" i="106"/>
  <c r="K30" i="110" s="1"/>
  <c r="M23" i="106"/>
  <c r="M30" i="110" s="1"/>
  <c r="I51" i="106"/>
  <c r="I58" i="110" s="1"/>
  <c r="L9" i="106"/>
  <c r="L16" i="110" s="1"/>
  <c r="L23" i="106"/>
  <c r="L30" i="110" s="1"/>
  <c r="G51" i="106"/>
  <c r="G58" i="110" s="1"/>
  <c r="L51" i="106"/>
  <c r="L58" i="110" s="1"/>
  <c r="I23" i="106"/>
  <c r="I30" i="110" s="1"/>
  <c r="K9" i="106"/>
  <c r="K16" i="110" s="1"/>
  <c r="G23" i="106"/>
  <c r="G30" i="110" s="1"/>
  <c r="M65" i="106"/>
  <c r="M72" i="110" s="1"/>
  <c r="F51" i="106"/>
  <c r="F58" i="110" s="1"/>
  <c r="H51" i="106"/>
  <c r="H58" i="110" s="1"/>
  <c r="D51" i="106"/>
  <c r="D58" i="110" s="1"/>
  <c r="M37" i="106"/>
  <c r="M44" i="110" s="1"/>
  <c r="V100" i="93"/>
  <c r="BY57" i="110" s="1"/>
  <c r="W100" i="87"/>
  <c r="AJ57" i="110" s="1"/>
  <c r="H23" i="106"/>
  <c r="H30" i="110" s="1"/>
  <c r="M9" i="106"/>
  <c r="M16" i="110" s="1"/>
  <c r="E51" i="106"/>
  <c r="E58" i="110" s="1"/>
  <c r="D23" i="106"/>
  <c r="D30" i="110" s="1"/>
  <c r="F23" i="106"/>
  <c r="F30" i="110" s="1"/>
  <c r="AC85" i="87"/>
  <c r="R85" i="87" s="1"/>
  <c r="AP42" i="110"/>
  <c r="K51" i="106"/>
  <c r="K58" i="110" s="1"/>
  <c r="M51" i="106"/>
  <c r="M58" i="110" s="1"/>
  <c r="L65" i="106"/>
  <c r="L72" i="110" s="1"/>
  <c r="AL22" i="93"/>
  <c r="S54" i="87"/>
  <c r="AF13" i="110" s="1"/>
  <c r="AL36" i="93"/>
  <c r="AL39" i="93"/>
  <c r="AL37" i="93"/>
  <c r="AL35" i="93"/>
  <c r="S54" i="89"/>
  <c r="AT13" i="110" s="1"/>
  <c r="S54" i="91"/>
  <c r="BH13" i="110" s="1"/>
  <c r="AL28" i="93"/>
  <c r="AL23" i="93"/>
  <c r="AL29" i="93"/>
  <c r="F62" i="106"/>
  <c r="F69" i="110" s="1"/>
  <c r="AL34" i="93"/>
  <c r="AL26" i="93"/>
  <c r="AL21" i="93"/>
  <c r="AL41" i="93"/>
  <c r="AL24" i="93"/>
  <c r="AL42" i="93"/>
  <c r="AL40" i="93"/>
  <c r="AL25" i="93"/>
  <c r="AL38" i="93"/>
  <c r="AL27" i="93"/>
  <c r="T100" i="28"/>
  <c r="S57" i="110" s="1"/>
  <c r="E49" i="106"/>
  <c r="E56" i="110" s="1"/>
  <c r="D65" i="106"/>
  <c r="D72" i="110" s="1"/>
  <c r="T114" i="28"/>
  <c r="S71" i="110" s="1"/>
  <c r="E63" i="106"/>
  <c r="E70" i="110" s="1"/>
  <c r="U99" i="28"/>
  <c r="T56" i="110" s="1"/>
  <c r="L37" i="106"/>
  <c r="L44" i="110" s="1"/>
  <c r="S54" i="28"/>
  <c r="R13" i="110" s="1"/>
  <c r="D34" i="106"/>
  <c r="D41" i="110" s="1"/>
  <c r="AC57" i="93"/>
  <c r="AC57" i="91"/>
  <c r="AC73" i="28"/>
  <c r="R73" i="28" s="1"/>
  <c r="AH44" i="87"/>
  <c r="AI44" i="87" s="1"/>
  <c r="G19" i="89"/>
  <c r="W19" i="89" s="1"/>
  <c r="U17" i="46"/>
  <c r="K17" i="46"/>
  <c r="V53" i="89"/>
  <c r="U69" i="89"/>
  <c r="U83" i="89" s="1"/>
  <c r="U97" i="89" s="1"/>
  <c r="U111" i="89" s="1"/>
  <c r="AU45" i="91"/>
  <c r="W99" i="91"/>
  <c r="BL56" i="110" s="1"/>
  <c r="V53" i="91"/>
  <c r="U69" i="91"/>
  <c r="U83" i="91" s="1"/>
  <c r="U97" i="91" s="1"/>
  <c r="U111" i="91" s="1"/>
  <c r="AU45" i="28"/>
  <c r="AU45" i="93"/>
  <c r="W99" i="93"/>
  <c r="BZ56" i="110" s="1"/>
  <c r="V53" i="28"/>
  <c r="U69" i="28"/>
  <c r="U83" i="28" s="1"/>
  <c r="U97" i="28" s="1"/>
  <c r="U111" i="28" s="1"/>
  <c r="T69" i="87"/>
  <c r="T83" i="87" s="1"/>
  <c r="T97" i="87" s="1"/>
  <c r="T111" i="87" s="1"/>
  <c r="U53" i="87"/>
  <c r="V53" i="93"/>
  <c r="U69" i="93"/>
  <c r="U83" i="93" s="1"/>
  <c r="U97" i="93" s="1"/>
  <c r="U111" i="93" s="1"/>
  <c r="U33" i="89"/>
  <c r="F51" i="89"/>
  <c r="F32" i="89"/>
  <c r="U21" i="89"/>
  <c r="AO21" i="89" s="1"/>
  <c r="E23" i="106"/>
  <c r="E30" i="110" s="1"/>
  <c r="S86" i="87"/>
  <c r="AF43" i="110" s="1"/>
  <c r="E34" i="106"/>
  <c r="E41" i="110" s="1"/>
  <c r="T86" i="87"/>
  <c r="AG43" i="110" s="1"/>
  <c r="U22" i="89"/>
  <c r="AO22" i="89" s="1"/>
  <c r="U29" i="89"/>
  <c r="AN19" i="89"/>
  <c r="AN32" i="89" s="1"/>
  <c r="U27" i="89"/>
  <c r="AO27" i="89" s="1"/>
  <c r="U40" i="89"/>
  <c r="U35" i="89"/>
  <c r="AO35" i="89" s="1"/>
  <c r="U37" i="89"/>
  <c r="AO37" i="89" s="1"/>
  <c r="U28" i="89"/>
  <c r="AO28" i="89" s="1"/>
  <c r="U25" i="89"/>
  <c r="AO25" i="89" s="1"/>
  <c r="U39" i="89"/>
  <c r="AO39" i="89" s="1"/>
  <c r="U24" i="89"/>
  <c r="AO24" i="89" s="1"/>
  <c r="U26" i="89"/>
  <c r="AO26" i="89" s="1"/>
  <c r="U42" i="89"/>
  <c r="AO42" i="89" s="1"/>
  <c r="U38" i="89"/>
  <c r="U20" i="89"/>
  <c r="AO20" i="89" s="1"/>
  <c r="I9" i="106"/>
  <c r="I16" i="110" s="1"/>
  <c r="U23" i="89"/>
  <c r="AO23" i="89" s="1"/>
  <c r="U34" i="89"/>
  <c r="AO34" i="89" s="1"/>
  <c r="T71" i="87"/>
  <c r="AG28" i="110" s="1"/>
  <c r="T70" i="93"/>
  <c r="BW27" i="110" s="1"/>
  <c r="U84" i="28"/>
  <c r="T41" i="110" s="1"/>
  <c r="AL33" i="89"/>
  <c r="T71" i="89"/>
  <c r="AU28" i="110" s="1"/>
  <c r="T70" i="87"/>
  <c r="AG27" i="110" s="1"/>
  <c r="U70" i="28"/>
  <c r="T27" i="110" s="1"/>
  <c r="T70" i="91"/>
  <c r="BI27" i="110" s="1"/>
  <c r="D20" i="106"/>
  <c r="D27" i="110" s="1"/>
  <c r="AL20" i="89"/>
  <c r="T70" i="89"/>
  <c r="AU27" i="110" s="1"/>
  <c r="AL33" i="93"/>
  <c r="T71" i="93"/>
  <c r="BW28" i="110" s="1"/>
  <c r="T86" i="28"/>
  <c r="S43" i="110" s="1"/>
  <c r="E35" i="106"/>
  <c r="E42" i="110" s="1"/>
  <c r="AL33" i="91"/>
  <c r="T71" i="91"/>
  <c r="BI28" i="110" s="1"/>
  <c r="AU45" i="87"/>
  <c r="AN44" i="28"/>
  <c r="AO44" i="28" s="1"/>
  <c r="U85" i="28"/>
  <c r="T42" i="110" s="1"/>
  <c r="AN43" i="28"/>
  <c r="U71" i="28"/>
  <c r="T28" i="110" s="1"/>
  <c r="AH44" i="28"/>
  <c r="AI44" i="28" s="1"/>
  <c r="S85" i="28"/>
  <c r="R42" i="110" s="1"/>
  <c r="T71" i="28"/>
  <c r="S28" i="110" s="1"/>
  <c r="AQ43" i="28"/>
  <c r="AR43" i="28" s="1"/>
  <c r="AQ44" i="28"/>
  <c r="AR44" i="28" s="1"/>
  <c r="S71" i="28"/>
  <c r="R28" i="110" s="1"/>
  <c r="AT43" i="87"/>
  <c r="AN44" i="91"/>
  <c r="AO44" i="91" s="1"/>
  <c r="AN43" i="93"/>
  <c r="AO43" i="93" s="1"/>
  <c r="AN43" i="91"/>
  <c r="AT44" i="89"/>
  <c r="AU44" i="89" s="1"/>
  <c r="AN44" i="89"/>
  <c r="AO44" i="89" s="1"/>
  <c r="AQ44" i="91"/>
  <c r="AR44" i="91" s="1"/>
  <c r="AQ44" i="89"/>
  <c r="AR44" i="89" s="1"/>
  <c r="AN43" i="89"/>
  <c r="AO43" i="89" s="1"/>
  <c r="AN43" i="87"/>
  <c r="AT44" i="91"/>
  <c r="AU44" i="91" s="1"/>
  <c r="AQ43" i="89"/>
  <c r="AT43" i="93"/>
  <c r="AN44" i="87"/>
  <c r="AO44" i="87" s="1"/>
  <c r="AN44" i="93"/>
  <c r="AO44" i="93" s="1"/>
  <c r="AQ44" i="87"/>
  <c r="AR44" i="87" s="1"/>
  <c r="AT44" i="93"/>
  <c r="AU44" i="93" s="1"/>
  <c r="AQ43" i="87"/>
  <c r="AR43" i="87" s="1"/>
  <c r="AQ44" i="93"/>
  <c r="AR44" i="93" s="1"/>
  <c r="I11" i="46"/>
  <c r="S11" i="46"/>
  <c r="H20" i="46"/>
  <c r="R20" i="46"/>
  <c r="I56" i="46"/>
  <c r="J56" i="46" s="1"/>
  <c r="AI30" i="89"/>
  <c r="AQ43" i="93"/>
  <c r="T30" i="89"/>
  <c r="R6" i="46"/>
  <c r="H6" i="46"/>
  <c r="I47" i="46"/>
  <c r="S47" i="46"/>
  <c r="S46" i="93"/>
  <c r="T46" i="89"/>
  <c r="T55" i="89" s="1"/>
  <c r="AU14" i="110" s="1"/>
  <c r="S46" i="91"/>
  <c r="AH43" i="87"/>
  <c r="S46" i="87"/>
  <c r="AL44" i="28"/>
  <c r="S46" i="28"/>
  <c r="T46" i="28"/>
  <c r="S46" i="89"/>
  <c r="AI30" i="87"/>
  <c r="T46" i="93"/>
  <c r="AL20" i="93"/>
  <c r="T30" i="93"/>
  <c r="F32" i="93"/>
  <c r="V32" i="93"/>
  <c r="G19" i="93"/>
  <c r="V19" i="93"/>
  <c r="F51" i="93"/>
  <c r="AN19" i="93"/>
  <c r="AN32" i="93" s="1"/>
  <c r="U20" i="93"/>
  <c r="U34" i="93"/>
  <c r="AO34" i="93" s="1"/>
  <c r="U21" i="93"/>
  <c r="AO21" i="93" s="1"/>
  <c r="U40" i="93"/>
  <c r="AO40" i="93" s="1"/>
  <c r="U39" i="93"/>
  <c r="AO39" i="93" s="1"/>
  <c r="U36" i="93"/>
  <c r="AO36" i="93" s="1"/>
  <c r="U41" i="93"/>
  <c r="AO41" i="93" s="1"/>
  <c r="U24" i="93"/>
  <c r="AO24" i="93" s="1"/>
  <c r="U23" i="93"/>
  <c r="AO23" i="93" s="1"/>
  <c r="U29" i="93"/>
  <c r="AO29" i="93" s="1"/>
  <c r="U25" i="93"/>
  <c r="AO25" i="93" s="1"/>
  <c r="U35" i="93"/>
  <c r="AO35" i="93" s="1"/>
  <c r="U27" i="93"/>
  <c r="AO27" i="93" s="1"/>
  <c r="U33" i="93"/>
  <c r="U37" i="93"/>
  <c r="AO37" i="93" s="1"/>
  <c r="U28" i="93"/>
  <c r="AO28" i="93" s="1"/>
  <c r="U42" i="93"/>
  <c r="AO42" i="93" s="1"/>
  <c r="U38" i="93"/>
  <c r="AO38" i="93" s="1"/>
  <c r="U26" i="93"/>
  <c r="AO26" i="93" s="1"/>
  <c r="U22" i="93"/>
  <c r="AO22" i="93" s="1"/>
  <c r="I7" i="46"/>
  <c r="S7" i="46"/>
  <c r="AI30" i="28"/>
  <c r="G32" i="89"/>
  <c r="AQ19" i="89"/>
  <c r="AQ32" i="89" s="1"/>
  <c r="V28" i="89"/>
  <c r="AR28" i="89" s="1"/>
  <c r="V34" i="89"/>
  <c r="AR34" i="89" s="1"/>
  <c r="V37" i="89"/>
  <c r="AR37" i="89" s="1"/>
  <c r="V40" i="89"/>
  <c r="AR40" i="89" s="1"/>
  <c r="V24" i="89"/>
  <c r="AR24" i="89" s="1"/>
  <c r="V22" i="89"/>
  <c r="AR22" i="89" s="1"/>
  <c r="V42" i="89"/>
  <c r="AR42" i="89" s="1"/>
  <c r="V29" i="89"/>
  <c r="AR29" i="89" s="1"/>
  <c r="V20" i="89"/>
  <c r="V41" i="89"/>
  <c r="AR41" i="89" s="1"/>
  <c r="V26" i="89"/>
  <c r="AR26" i="89" s="1"/>
  <c r="V27" i="89"/>
  <c r="AR27" i="89" s="1"/>
  <c r="V36" i="89"/>
  <c r="AR36" i="89" s="1"/>
  <c r="V39" i="89"/>
  <c r="AR39" i="89" s="1"/>
  <c r="V33" i="89"/>
  <c r="V23" i="89"/>
  <c r="AR23" i="89" s="1"/>
  <c r="V35" i="89"/>
  <c r="AR35" i="89" s="1"/>
  <c r="V21" i="89"/>
  <c r="AR21" i="89" s="1"/>
  <c r="V25" i="89"/>
  <c r="AR25" i="89" s="1"/>
  <c r="V38" i="89"/>
  <c r="AR38" i="89" s="1"/>
  <c r="I50" i="46"/>
  <c r="S50" i="46"/>
  <c r="I25" i="46"/>
  <c r="S25" i="46"/>
  <c r="S44" i="46"/>
  <c r="I44" i="46"/>
  <c r="I22" i="46"/>
  <c r="S22" i="46"/>
  <c r="I42" i="46"/>
  <c r="S42" i="46"/>
  <c r="J49" i="46"/>
  <c r="T49" i="46"/>
  <c r="S26" i="46"/>
  <c r="I26" i="46"/>
  <c r="S14" i="46"/>
  <c r="I14" i="46"/>
  <c r="S28" i="46"/>
  <c r="I28" i="46"/>
  <c r="S23" i="46"/>
  <c r="I23" i="46"/>
  <c r="T45" i="46"/>
  <c r="J45" i="46"/>
  <c r="I24" i="46"/>
  <c r="S24" i="46"/>
  <c r="J48" i="46"/>
  <c r="T48" i="46"/>
  <c r="I51" i="46"/>
  <c r="S51" i="46"/>
  <c r="S46" i="46"/>
  <c r="I46" i="46"/>
  <c r="I55" i="46"/>
  <c r="S55" i="46"/>
  <c r="S29" i="46"/>
  <c r="I29" i="46"/>
  <c r="S27" i="46"/>
  <c r="I27" i="46"/>
  <c r="S43" i="46"/>
  <c r="I43" i="46"/>
  <c r="S30" i="46"/>
  <c r="I30" i="46"/>
  <c r="I21" i="46"/>
  <c r="S21" i="46"/>
  <c r="I54" i="46"/>
  <c r="S58" i="46"/>
  <c r="I58" i="46"/>
  <c r="S57" i="46"/>
  <c r="I57" i="46"/>
  <c r="I41" i="46"/>
  <c r="S41" i="46"/>
  <c r="I40" i="46"/>
  <c r="S40" i="46"/>
  <c r="S38" i="46"/>
  <c r="I38" i="46"/>
  <c r="X45" i="28"/>
  <c r="X45" i="87"/>
  <c r="X99" i="87" s="1"/>
  <c r="AK56" i="110" s="1"/>
  <c r="X45" i="89"/>
  <c r="X45" i="93"/>
  <c r="X45" i="91"/>
  <c r="I35" i="46"/>
  <c r="S35" i="46"/>
  <c r="I34" i="46"/>
  <c r="S34" i="46"/>
  <c r="I39" i="46"/>
  <c r="S39" i="46"/>
  <c r="I36" i="46"/>
  <c r="S36" i="46"/>
  <c r="H8" i="46"/>
  <c r="R8" i="46"/>
  <c r="R18" i="46"/>
  <c r="H18" i="46"/>
  <c r="I13" i="46"/>
  <c r="S13" i="46"/>
  <c r="S12" i="46"/>
  <c r="I12" i="46"/>
  <c r="I15" i="46"/>
  <c r="S15" i="46"/>
  <c r="H16" i="46"/>
  <c r="R16" i="46"/>
  <c r="AO33" i="28"/>
  <c r="U46" i="28"/>
  <c r="U55" i="28" s="1"/>
  <c r="T14" i="110" s="1"/>
  <c r="AO24" i="28"/>
  <c r="AO22" i="28"/>
  <c r="AN19" i="87"/>
  <c r="AN32" i="87" s="1"/>
  <c r="U22" i="87"/>
  <c r="AO22" i="87" s="1"/>
  <c r="U28" i="87"/>
  <c r="AO28" i="87" s="1"/>
  <c r="U39" i="87"/>
  <c r="AO39" i="87" s="1"/>
  <c r="U37" i="87"/>
  <c r="U34" i="87"/>
  <c r="AO34" i="87" s="1"/>
  <c r="U26" i="87"/>
  <c r="AO26" i="87" s="1"/>
  <c r="U24" i="87"/>
  <c r="AO24" i="87" s="1"/>
  <c r="U21" i="87"/>
  <c r="U42" i="87"/>
  <c r="AO42" i="87" s="1"/>
  <c r="U41" i="87"/>
  <c r="AO41" i="87" s="1"/>
  <c r="U40" i="87"/>
  <c r="AO40" i="87" s="1"/>
  <c r="U20" i="87"/>
  <c r="U29" i="87"/>
  <c r="AO29" i="87" s="1"/>
  <c r="U33" i="87"/>
  <c r="U38" i="87"/>
  <c r="U25" i="87"/>
  <c r="AO25" i="87" s="1"/>
  <c r="U23" i="87"/>
  <c r="U36" i="87"/>
  <c r="AO36" i="87" s="1"/>
  <c r="U35" i="87"/>
  <c r="AO35" i="87" s="1"/>
  <c r="U27" i="87"/>
  <c r="AL41" i="87"/>
  <c r="AL24" i="87"/>
  <c r="AL34" i="87"/>
  <c r="AO20" i="28"/>
  <c r="U30" i="28"/>
  <c r="U54" i="28" s="1"/>
  <c r="T13" i="110" s="1"/>
  <c r="AO38" i="28"/>
  <c r="AL20" i="87"/>
  <c r="T30" i="87"/>
  <c r="T54" i="87" s="1"/>
  <c r="AG13" i="110" s="1"/>
  <c r="AL40" i="87"/>
  <c r="G19" i="91"/>
  <c r="F51" i="91"/>
  <c r="V32" i="91"/>
  <c r="F32" i="91"/>
  <c r="V19" i="91"/>
  <c r="AL21" i="87"/>
  <c r="T46" i="91"/>
  <c r="V37" i="28"/>
  <c r="AR37" i="28" s="1"/>
  <c r="V36" i="28"/>
  <c r="AR36" i="28" s="1"/>
  <c r="V28" i="28"/>
  <c r="AR28" i="28" s="1"/>
  <c r="AQ19" i="28"/>
  <c r="AQ32" i="28" s="1"/>
  <c r="V33" i="28"/>
  <c r="V27" i="28"/>
  <c r="AR27" i="28" s="1"/>
  <c r="V40" i="28"/>
  <c r="AR40" i="28" s="1"/>
  <c r="V22" i="28"/>
  <c r="V39" i="28"/>
  <c r="AR39" i="28" s="1"/>
  <c r="V25" i="28"/>
  <c r="V24" i="28"/>
  <c r="AR24" i="28" s="1"/>
  <c r="V41" i="28"/>
  <c r="AR41" i="28" s="1"/>
  <c r="V20" i="28"/>
  <c r="V42" i="28"/>
  <c r="AR42" i="28" s="1"/>
  <c r="V29" i="28"/>
  <c r="AR29" i="28" s="1"/>
  <c r="V34" i="28"/>
  <c r="V38" i="28"/>
  <c r="AR38" i="28" s="1"/>
  <c r="V26" i="28"/>
  <c r="V21" i="28"/>
  <c r="V112" i="28" s="1"/>
  <c r="U69" i="110" s="1"/>
  <c r="V35" i="28"/>
  <c r="AR35" i="28" s="1"/>
  <c r="V23" i="28"/>
  <c r="AO37" i="28"/>
  <c r="AO21" i="28"/>
  <c r="AI30" i="91"/>
  <c r="AL25" i="87"/>
  <c r="AL23" i="87"/>
  <c r="AN19" i="91"/>
  <c r="AN32" i="91" s="1"/>
  <c r="U42" i="91"/>
  <c r="AO42" i="91" s="1"/>
  <c r="U27" i="91"/>
  <c r="AO27" i="91" s="1"/>
  <c r="U29" i="91"/>
  <c r="U20" i="91"/>
  <c r="U21" i="91"/>
  <c r="AO21" i="91" s="1"/>
  <c r="U40" i="91"/>
  <c r="AO40" i="91" s="1"/>
  <c r="U37" i="91"/>
  <c r="U24" i="91"/>
  <c r="AO24" i="91" s="1"/>
  <c r="U41" i="91"/>
  <c r="U25" i="91"/>
  <c r="U23" i="91"/>
  <c r="U22" i="91"/>
  <c r="U35" i="91"/>
  <c r="AO35" i="91" s="1"/>
  <c r="U34" i="91"/>
  <c r="AO34" i="91" s="1"/>
  <c r="U36" i="91"/>
  <c r="U28" i="91"/>
  <c r="U26" i="91"/>
  <c r="AO26" i="91" s="1"/>
  <c r="U33" i="91"/>
  <c r="U38" i="91"/>
  <c r="U39" i="91"/>
  <c r="G32" i="28"/>
  <c r="W32" i="28"/>
  <c r="H19" i="28"/>
  <c r="G51" i="28"/>
  <c r="W19" i="28"/>
  <c r="AO23" i="28"/>
  <c r="AO27" i="28"/>
  <c r="AO26" i="28"/>
  <c r="AL33" i="87"/>
  <c r="T46" i="87"/>
  <c r="T55" i="87" s="1"/>
  <c r="AG14" i="110" s="1"/>
  <c r="AL42" i="87"/>
  <c r="AO25" i="28"/>
  <c r="AO42" i="28"/>
  <c r="AO35" i="28"/>
  <c r="AO36" i="28"/>
  <c r="AL39" i="87"/>
  <c r="AL22" i="87"/>
  <c r="AL26" i="87"/>
  <c r="AO28" i="28"/>
  <c r="AO29" i="28"/>
  <c r="AO41" i="28"/>
  <c r="S3" i="46"/>
  <c r="I3" i="46"/>
  <c r="AL38" i="87"/>
  <c r="AL29" i="87"/>
  <c r="AL27" i="87"/>
  <c r="AL20" i="91"/>
  <c r="T30" i="91"/>
  <c r="T54" i="91" s="1"/>
  <c r="BI13" i="110" s="1"/>
  <c r="F51" i="87"/>
  <c r="V32" i="87"/>
  <c r="V19" i="87"/>
  <c r="G19" i="87"/>
  <c r="F32" i="87"/>
  <c r="AO34" i="28"/>
  <c r="AO39" i="28"/>
  <c r="AO40" i="28"/>
  <c r="AL28" i="87"/>
  <c r="AL36" i="87"/>
  <c r="AL35" i="87"/>
  <c r="S100" i="93" l="1"/>
  <c r="BV57" i="110" s="1"/>
  <c r="S72" i="93"/>
  <c r="BV29" i="110" s="1"/>
  <c r="X58" i="110"/>
  <c r="AB58" i="110" s="1"/>
  <c r="T72" i="110"/>
  <c r="BJ59" i="110"/>
  <c r="BJ60" i="110"/>
  <c r="W44" i="110"/>
  <c r="T16" i="110"/>
  <c r="V44" i="110"/>
  <c r="V16" i="110"/>
  <c r="S44" i="110"/>
  <c r="Y44" i="110"/>
  <c r="U16" i="110"/>
  <c r="U44" i="110"/>
  <c r="S16" i="110"/>
  <c r="X44" i="110"/>
  <c r="X16" i="110"/>
  <c r="R44" i="110"/>
  <c r="R16" i="110"/>
  <c r="I37" i="106"/>
  <c r="I44" i="110" s="1"/>
  <c r="H9" i="106"/>
  <c r="H16" i="110" s="1"/>
  <c r="G9" i="106"/>
  <c r="G16" i="110" s="1"/>
  <c r="V102" i="89"/>
  <c r="V103" i="89" s="1"/>
  <c r="E37" i="106"/>
  <c r="E44" i="110" s="1"/>
  <c r="J37" i="106"/>
  <c r="J44" i="110" s="1"/>
  <c r="F9" i="106"/>
  <c r="F16" i="110" s="1"/>
  <c r="G37" i="106"/>
  <c r="G44" i="110" s="1"/>
  <c r="T102" i="93"/>
  <c r="T103" i="93" s="1"/>
  <c r="U102" i="93"/>
  <c r="U103" i="93" s="1"/>
  <c r="C46" i="91"/>
  <c r="AI43" i="91"/>
  <c r="S100" i="91"/>
  <c r="BH57" i="110" s="1"/>
  <c r="S72" i="91"/>
  <c r="BH29" i="110" s="1"/>
  <c r="U102" i="89"/>
  <c r="U103" i="89" s="1"/>
  <c r="S72" i="89"/>
  <c r="AT29" i="110" s="1"/>
  <c r="W102" i="89"/>
  <c r="W103" i="89" s="1"/>
  <c r="S100" i="89"/>
  <c r="AT57" i="110" s="1"/>
  <c r="S72" i="87"/>
  <c r="AF29" i="110" s="1"/>
  <c r="S100" i="28"/>
  <c r="R57" i="110" s="1"/>
  <c r="E9" i="106"/>
  <c r="E16" i="110" s="1"/>
  <c r="AF56" i="110"/>
  <c r="K37" i="106"/>
  <c r="K44" i="110" s="1"/>
  <c r="D49" i="106"/>
  <c r="D56" i="110" s="1"/>
  <c r="H37" i="106"/>
  <c r="H44" i="110" s="1"/>
  <c r="T102" i="91"/>
  <c r="T103" i="91" s="1"/>
  <c r="F65" i="106"/>
  <c r="F72" i="110" s="1"/>
  <c r="AC115" i="28"/>
  <c r="R115" i="28" s="1"/>
  <c r="U114" i="28"/>
  <c r="T71" i="110" s="1"/>
  <c r="Y72" i="110"/>
  <c r="K65" i="106"/>
  <c r="K72" i="110" s="1"/>
  <c r="T102" i="89"/>
  <c r="T103" i="89" s="1"/>
  <c r="V102" i="91"/>
  <c r="V103" i="91" s="1"/>
  <c r="V102" i="87"/>
  <c r="V103" i="87" s="1"/>
  <c r="F63" i="106"/>
  <c r="F70" i="110" s="1"/>
  <c r="AF57" i="110"/>
  <c r="S102" i="87"/>
  <c r="S103" i="87" s="1"/>
  <c r="AG57" i="110"/>
  <c r="T102" i="87"/>
  <c r="T103" i="87" s="1"/>
  <c r="AH57" i="110"/>
  <c r="U102" i="87"/>
  <c r="U103" i="87" s="1"/>
  <c r="S114" i="28"/>
  <c r="R71" i="110" s="1"/>
  <c r="D63" i="106"/>
  <c r="D70" i="110" s="1"/>
  <c r="J9" i="106"/>
  <c r="J16" i="110" s="1"/>
  <c r="AC101" i="28"/>
  <c r="R101" i="28" s="1"/>
  <c r="F48" i="106"/>
  <c r="F55" i="110" s="1"/>
  <c r="D23" i="104"/>
  <c r="M65" i="28"/>
  <c r="J51" i="106"/>
  <c r="J58" i="110" s="1"/>
  <c r="N58" i="110" s="1"/>
  <c r="R57" i="93"/>
  <c r="R57" i="91"/>
  <c r="I43" i="87"/>
  <c r="I44" i="87"/>
  <c r="I43" i="89"/>
  <c r="I44" i="89"/>
  <c r="I43" i="93"/>
  <c r="I44" i="91"/>
  <c r="I43" i="91"/>
  <c r="I44" i="93"/>
  <c r="I44" i="28"/>
  <c r="I43" i="28"/>
  <c r="U49" i="46"/>
  <c r="K49" i="46"/>
  <c r="U56" i="46"/>
  <c r="K56" i="46"/>
  <c r="U48" i="46"/>
  <c r="K48" i="46"/>
  <c r="L17" i="46"/>
  <c r="W17" i="46" s="1"/>
  <c r="V17" i="46"/>
  <c r="L37" i="46"/>
  <c r="W37" i="46" s="1"/>
  <c r="V37" i="46"/>
  <c r="U45" i="46"/>
  <c r="K45" i="46"/>
  <c r="W32" i="89"/>
  <c r="H19" i="89"/>
  <c r="X19" i="89" s="1"/>
  <c r="G51" i="89"/>
  <c r="AB30" i="110"/>
  <c r="V102" i="93"/>
  <c r="V103" i="93" s="1"/>
  <c r="N23" i="106"/>
  <c r="N30" i="110"/>
  <c r="W100" i="93"/>
  <c r="BZ57" i="110" s="1"/>
  <c r="AC87" i="28"/>
  <c r="R87" i="28" s="1"/>
  <c r="T88" i="87"/>
  <c r="T89" i="87" s="1"/>
  <c r="W102" i="87"/>
  <c r="W103" i="87" s="1"/>
  <c r="AO27" i="87"/>
  <c r="T54" i="93"/>
  <c r="BW13" i="110" s="1"/>
  <c r="AO40" i="89"/>
  <c r="AO23" i="87"/>
  <c r="AO37" i="87"/>
  <c r="T88" i="28"/>
  <c r="AO38" i="89"/>
  <c r="AO29" i="89"/>
  <c r="AR34" i="28"/>
  <c r="AO38" i="87"/>
  <c r="G62" i="106"/>
  <c r="G69" i="110" s="1"/>
  <c r="AO33" i="89"/>
  <c r="T116" i="28"/>
  <c r="T117" i="28" s="1"/>
  <c r="E64" i="106"/>
  <c r="E71" i="110" s="1"/>
  <c r="U100" i="28"/>
  <c r="T57" i="110" s="1"/>
  <c r="F49" i="106"/>
  <c r="F56" i="110" s="1"/>
  <c r="T102" i="28"/>
  <c r="T103" i="28" s="1"/>
  <c r="E50" i="106"/>
  <c r="E57" i="110" s="1"/>
  <c r="AH46" i="87"/>
  <c r="AI46" i="87" s="1"/>
  <c r="AR23" i="28"/>
  <c r="V98" i="28"/>
  <c r="U55" i="110" s="1"/>
  <c r="V113" i="28"/>
  <c r="U70" i="110" s="1"/>
  <c r="V99" i="28"/>
  <c r="U56" i="110" s="1"/>
  <c r="D21" i="106"/>
  <c r="D28" i="110" s="1"/>
  <c r="D35" i="106"/>
  <c r="D42" i="110" s="1"/>
  <c r="X100" i="87"/>
  <c r="AK57" i="110" s="1"/>
  <c r="D9" i="106"/>
  <c r="D16" i="110" s="1"/>
  <c r="AC57" i="28"/>
  <c r="AK43" i="28"/>
  <c r="AL43" i="28" s="1"/>
  <c r="AK43" i="91"/>
  <c r="AL43" i="91" s="1"/>
  <c r="AK43" i="93"/>
  <c r="AL43" i="93" s="1"/>
  <c r="AK43" i="87"/>
  <c r="AL43" i="87" s="1"/>
  <c r="AK43" i="89"/>
  <c r="AL43" i="89" s="1"/>
  <c r="W53" i="93"/>
  <c r="V69" i="93"/>
  <c r="V83" i="93" s="1"/>
  <c r="V97" i="93" s="1"/>
  <c r="V111" i="93" s="1"/>
  <c r="AX45" i="91"/>
  <c r="X99" i="91"/>
  <c r="BM56" i="110" s="1"/>
  <c r="W53" i="89"/>
  <c r="V69" i="89"/>
  <c r="V83" i="89" s="1"/>
  <c r="V97" i="89" s="1"/>
  <c r="V111" i="89" s="1"/>
  <c r="AX45" i="93"/>
  <c r="X99" i="93"/>
  <c r="CA56" i="110" s="1"/>
  <c r="V53" i="87"/>
  <c r="U69" i="87"/>
  <c r="U83" i="87" s="1"/>
  <c r="U97" i="87" s="1"/>
  <c r="U111" i="87" s="1"/>
  <c r="AX45" i="89"/>
  <c r="X99" i="89"/>
  <c r="AY56" i="110" s="1"/>
  <c r="W53" i="91"/>
  <c r="V69" i="91"/>
  <c r="V83" i="91" s="1"/>
  <c r="V97" i="91" s="1"/>
  <c r="V111" i="91" s="1"/>
  <c r="AX45" i="28"/>
  <c r="W53" i="28"/>
  <c r="V69" i="28"/>
  <c r="V83" i="28" s="1"/>
  <c r="V97" i="28" s="1"/>
  <c r="V111" i="28" s="1"/>
  <c r="W100" i="91"/>
  <c r="BL57" i="110" s="1"/>
  <c r="D37" i="106"/>
  <c r="D44" i="110" s="1"/>
  <c r="S88" i="87"/>
  <c r="S89" i="87" s="1"/>
  <c r="AO21" i="87"/>
  <c r="U84" i="87"/>
  <c r="AH41" i="110" s="1"/>
  <c r="S78" i="87"/>
  <c r="AF35" i="110" s="1"/>
  <c r="D25" i="104"/>
  <c r="U71" i="89"/>
  <c r="AV28" i="110" s="1"/>
  <c r="U70" i="89"/>
  <c r="AV27" i="110" s="1"/>
  <c r="U46" i="89"/>
  <c r="U55" i="89" s="1"/>
  <c r="AV14" i="110" s="1"/>
  <c r="U30" i="89"/>
  <c r="D6" i="106"/>
  <c r="D13" i="110" s="1"/>
  <c r="U71" i="87"/>
  <c r="AH28" i="110" s="1"/>
  <c r="U71" i="93"/>
  <c r="BX28" i="110" s="1"/>
  <c r="C46" i="28"/>
  <c r="E46" i="28"/>
  <c r="V71" i="89"/>
  <c r="AW28" i="110" s="1"/>
  <c r="T72" i="91"/>
  <c r="BI29" i="110" s="1"/>
  <c r="U86" i="28"/>
  <c r="T43" i="110" s="1"/>
  <c r="F35" i="106"/>
  <c r="F42" i="110" s="1"/>
  <c r="U70" i="87"/>
  <c r="AH27" i="110" s="1"/>
  <c r="T72" i="28"/>
  <c r="S29" i="110" s="1"/>
  <c r="E21" i="106"/>
  <c r="E28" i="110" s="1"/>
  <c r="U70" i="91"/>
  <c r="BJ27" i="110" s="1"/>
  <c r="T72" i="89"/>
  <c r="AU29" i="110" s="1"/>
  <c r="T72" i="87"/>
  <c r="AG29" i="110" s="1"/>
  <c r="E20" i="106"/>
  <c r="E27" i="110" s="1"/>
  <c r="V71" i="28"/>
  <c r="U28" i="110" s="1"/>
  <c r="U71" i="91"/>
  <c r="BJ28" i="110" s="1"/>
  <c r="V84" i="28"/>
  <c r="U41" i="110" s="1"/>
  <c r="T72" i="93"/>
  <c r="BW29" i="110" s="1"/>
  <c r="U72" i="28"/>
  <c r="T29" i="110" s="1"/>
  <c r="AR21" i="28"/>
  <c r="V70" i="28"/>
  <c r="U27" i="110" s="1"/>
  <c r="V70" i="89"/>
  <c r="AW27" i="110" s="1"/>
  <c r="U70" i="93"/>
  <c r="BX27" i="110" s="1"/>
  <c r="E36" i="106"/>
  <c r="E43" i="110" s="1"/>
  <c r="AX45" i="87"/>
  <c r="AN46" i="28"/>
  <c r="AO46" i="28" s="1"/>
  <c r="V85" i="28"/>
  <c r="U42" i="110" s="1"/>
  <c r="F46" i="28"/>
  <c r="AQ46" i="28"/>
  <c r="AT43" i="28"/>
  <c r="AT44" i="28"/>
  <c r="AU44" i="28" s="1"/>
  <c r="S86" i="28"/>
  <c r="R43" i="110" s="1"/>
  <c r="S72" i="28"/>
  <c r="R29" i="110" s="1"/>
  <c r="U56" i="28"/>
  <c r="T15" i="110" s="1"/>
  <c r="T55" i="93"/>
  <c r="BW14" i="110" s="1"/>
  <c r="T56" i="87"/>
  <c r="AG15" i="110" s="1"/>
  <c r="T54" i="89"/>
  <c r="AU13" i="110" s="1"/>
  <c r="T55" i="91"/>
  <c r="BI14" i="110" s="1"/>
  <c r="T55" i="28"/>
  <c r="S14" i="110" s="1"/>
  <c r="S55" i="93"/>
  <c r="BV14" i="110" s="1"/>
  <c r="S55" i="89"/>
  <c r="AT14" i="110" s="1"/>
  <c r="S55" i="91"/>
  <c r="BH14" i="110" s="1"/>
  <c r="S55" i="28"/>
  <c r="R14" i="110" s="1"/>
  <c r="S55" i="87"/>
  <c r="AF14" i="110" s="1"/>
  <c r="D46" i="87"/>
  <c r="AQ46" i="89"/>
  <c r="AN46" i="93"/>
  <c r="AN46" i="91"/>
  <c r="D46" i="91"/>
  <c r="G46" i="93"/>
  <c r="F46" i="89"/>
  <c r="D46" i="93"/>
  <c r="F46" i="87"/>
  <c r="AT46" i="93"/>
  <c r="AU43" i="93"/>
  <c r="D46" i="89"/>
  <c r="E46" i="91"/>
  <c r="G46" i="91"/>
  <c r="E46" i="87"/>
  <c r="AO43" i="87"/>
  <c r="AN46" i="87"/>
  <c r="AQ43" i="91"/>
  <c r="AQ46" i="91" s="1"/>
  <c r="AT43" i="91"/>
  <c r="F46" i="91"/>
  <c r="AT43" i="89"/>
  <c r="AK44" i="87"/>
  <c r="AL44" i="87" s="1"/>
  <c r="G46" i="89"/>
  <c r="AK44" i="89"/>
  <c r="E46" i="93"/>
  <c r="AR43" i="89"/>
  <c r="AQ46" i="93"/>
  <c r="AK44" i="93"/>
  <c r="AL44" i="93" s="1"/>
  <c r="F46" i="93"/>
  <c r="AK44" i="91"/>
  <c r="AL44" i="91" s="1"/>
  <c r="E46" i="89"/>
  <c r="T56" i="46"/>
  <c r="J11" i="46"/>
  <c r="T11" i="46"/>
  <c r="I20" i="46"/>
  <c r="S20" i="46"/>
  <c r="AW44" i="87"/>
  <c r="AW44" i="91"/>
  <c r="AW44" i="89"/>
  <c r="AW44" i="93"/>
  <c r="AL30" i="89"/>
  <c r="AI46" i="91"/>
  <c r="AR43" i="93"/>
  <c r="AU43" i="87"/>
  <c r="AO43" i="91"/>
  <c r="I6" i="46"/>
  <c r="S6" i="46"/>
  <c r="J47" i="46"/>
  <c r="T47" i="46"/>
  <c r="C46" i="87"/>
  <c r="AI43" i="87"/>
  <c r="AQ46" i="87"/>
  <c r="AN46" i="89"/>
  <c r="AR26" i="28"/>
  <c r="C46" i="93"/>
  <c r="AH43" i="93"/>
  <c r="AO43" i="28"/>
  <c r="AH43" i="28"/>
  <c r="AH46" i="28" s="1"/>
  <c r="AI46" i="28" s="1"/>
  <c r="D46" i="28"/>
  <c r="AR25" i="28"/>
  <c r="AR20" i="28"/>
  <c r="AH43" i="89"/>
  <c r="C46" i="89"/>
  <c r="AO33" i="93"/>
  <c r="U46" i="93"/>
  <c r="V23" i="93"/>
  <c r="AR23" i="93" s="1"/>
  <c r="V41" i="93"/>
  <c r="AR41" i="93" s="1"/>
  <c r="V33" i="93"/>
  <c r="V37" i="93"/>
  <c r="AR37" i="93" s="1"/>
  <c r="V38" i="93"/>
  <c r="V21" i="93"/>
  <c r="AR21" i="93" s="1"/>
  <c r="V40" i="93"/>
  <c r="AR40" i="93" s="1"/>
  <c r="V24" i="93"/>
  <c r="AR24" i="93" s="1"/>
  <c r="V27" i="93"/>
  <c r="AR27" i="93" s="1"/>
  <c r="AQ19" i="93"/>
  <c r="AQ32" i="93" s="1"/>
  <c r="V29" i="93"/>
  <c r="AR29" i="93" s="1"/>
  <c r="V22" i="93"/>
  <c r="AR22" i="93" s="1"/>
  <c r="V25" i="93"/>
  <c r="AR25" i="93" s="1"/>
  <c r="V36" i="93"/>
  <c r="V42" i="93"/>
  <c r="V35" i="93"/>
  <c r="AR35" i="93" s="1"/>
  <c r="V39" i="93"/>
  <c r="AR39" i="93" s="1"/>
  <c r="V20" i="93"/>
  <c r="V34" i="93"/>
  <c r="AR34" i="93" s="1"/>
  <c r="V28" i="93"/>
  <c r="AR28" i="93" s="1"/>
  <c r="V26" i="93"/>
  <c r="AR26" i="93" s="1"/>
  <c r="G51" i="93"/>
  <c r="G32" i="93"/>
  <c r="H19" i="93"/>
  <c r="W32" i="93"/>
  <c r="W19" i="93"/>
  <c r="AO20" i="93"/>
  <c r="U30" i="93"/>
  <c r="U54" i="93" s="1"/>
  <c r="BX13" i="110" s="1"/>
  <c r="AL30" i="93"/>
  <c r="T7" i="46"/>
  <c r="J7" i="46"/>
  <c r="AR20" i="89"/>
  <c r="V30" i="89"/>
  <c r="V54" i="89" s="1"/>
  <c r="AW13" i="110" s="1"/>
  <c r="AT19" i="89"/>
  <c r="AT32" i="89" s="1"/>
  <c r="W26" i="89"/>
  <c r="AU26" i="89" s="1"/>
  <c r="W42" i="89"/>
  <c r="AU42" i="89" s="1"/>
  <c r="W35" i="89"/>
  <c r="AU35" i="89" s="1"/>
  <c r="W36" i="89"/>
  <c r="W25" i="89"/>
  <c r="AU25" i="89" s="1"/>
  <c r="W41" i="89"/>
  <c r="AU41" i="89" s="1"/>
  <c r="W28" i="89"/>
  <c r="AU28" i="89" s="1"/>
  <c r="W21" i="89"/>
  <c r="AU21" i="89" s="1"/>
  <c r="W39" i="89"/>
  <c r="AU39" i="89" s="1"/>
  <c r="W33" i="89"/>
  <c r="W24" i="89"/>
  <c r="AU24" i="89" s="1"/>
  <c r="W38" i="89"/>
  <c r="AU38" i="89" s="1"/>
  <c r="W27" i="89"/>
  <c r="AU27" i="89" s="1"/>
  <c r="W34" i="89"/>
  <c r="AU34" i="89" s="1"/>
  <c r="W20" i="89"/>
  <c r="W37" i="89"/>
  <c r="AU37" i="89" s="1"/>
  <c r="W40" i="89"/>
  <c r="AU40" i="89" s="1"/>
  <c r="W23" i="89"/>
  <c r="AU23" i="89" s="1"/>
  <c r="W22" i="89"/>
  <c r="W29" i="89"/>
  <c r="AU29" i="89" s="1"/>
  <c r="AR33" i="89"/>
  <c r="V46" i="89"/>
  <c r="T26" i="46"/>
  <c r="J26" i="46"/>
  <c r="T27" i="46"/>
  <c r="J27" i="46"/>
  <c r="J23" i="46"/>
  <c r="T23" i="46"/>
  <c r="J44" i="46"/>
  <c r="T44" i="46"/>
  <c r="J51" i="46"/>
  <c r="T51" i="46"/>
  <c r="T29" i="46"/>
  <c r="J29" i="46"/>
  <c r="T28" i="46"/>
  <c r="J28" i="46"/>
  <c r="T43" i="46"/>
  <c r="J43" i="46"/>
  <c r="T21" i="46"/>
  <c r="J21" i="46"/>
  <c r="T42" i="46"/>
  <c r="J42" i="46"/>
  <c r="T25" i="46"/>
  <c r="J25" i="46"/>
  <c r="J46" i="46"/>
  <c r="T46" i="46"/>
  <c r="T30" i="46"/>
  <c r="J30" i="46"/>
  <c r="J14" i="46"/>
  <c r="T14" i="46"/>
  <c r="J55" i="46"/>
  <c r="T55" i="46"/>
  <c r="T24" i="46"/>
  <c r="J24" i="46"/>
  <c r="J22" i="46"/>
  <c r="K22" i="46" s="1"/>
  <c r="T22" i="46"/>
  <c r="T50" i="46"/>
  <c r="J50" i="46"/>
  <c r="J58" i="46"/>
  <c r="T58" i="46"/>
  <c r="T57" i="46"/>
  <c r="J57" i="46"/>
  <c r="J54" i="46"/>
  <c r="J34" i="46"/>
  <c r="T34" i="46"/>
  <c r="J36" i="46"/>
  <c r="T36" i="46"/>
  <c r="J40" i="46"/>
  <c r="T40" i="46"/>
  <c r="J39" i="46"/>
  <c r="T39" i="46"/>
  <c r="J35" i="46"/>
  <c r="T35" i="46"/>
  <c r="J41" i="46"/>
  <c r="T41" i="46"/>
  <c r="Y45" i="87"/>
  <c r="Y99" i="87" s="1"/>
  <c r="AL56" i="110" s="1"/>
  <c r="Y45" i="28"/>
  <c r="T38" i="46"/>
  <c r="J38" i="46"/>
  <c r="K38" i="46" s="1"/>
  <c r="Y45" i="91"/>
  <c r="Y45" i="89"/>
  <c r="Y45" i="93"/>
  <c r="J13" i="46"/>
  <c r="T13" i="46"/>
  <c r="S16" i="46"/>
  <c r="I16" i="46"/>
  <c r="I18" i="46"/>
  <c r="S18" i="46"/>
  <c r="J15" i="46"/>
  <c r="T15" i="46"/>
  <c r="T12" i="46"/>
  <c r="J12" i="46"/>
  <c r="I8" i="46"/>
  <c r="S8" i="46"/>
  <c r="AL30" i="91"/>
  <c r="AO28" i="91"/>
  <c r="AL30" i="87"/>
  <c r="AO36" i="91"/>
  <c r="AO37" i="91"/>
  <c r="V30" i="28"/>
  <c r="V54" i="28" s="1"/>
  <c r="U13" i="110" s="1"/>
  <c r="AR22" i="28"/>
  <c r="H19" i="91"/>
  <c r="W19" i="91"/>
  <c r="G32" i="91"/>
  <c r="G51" i="91"/>
  <c r="W32" i="91"/>
  <c r="X32" i="28"/>
  <c r="H32" i="28"/>
  <c r="X19" i="28"/>
  <c r="I19" i="28"/>
  <c r="H51" i="28"/>
  <c r="J3" i="46"/>
  <c r="K3" i="46" s="1"/>
  <c r="T3" i="46"/>
  <c r="AO30" i="28"/>
  <c r="AO33" i="87"/>
  <c r="U46" i="87"/>
  <c r="G51" i="87"/>
  <c r="H19" i="87"/>
  <c r="W32" i="87"/>
  <c r="W19" i="87"/>
  <c r="G32" i="87"/>
  <c r="AO39" i="91"/>
  <c r="AO22" i="91"/>
  <c r="AO20" i="91"/>
  <c r="U30" i="91"/>
  <c r="AR33" i="28"/>
  <c r="V46" i="28"/>
  <c r="V55" i="28" s="1"/>
  <c r="U14" i="110" s="1"/>
  <c r="AQ19" i="91"/>
  <c r="AQ32" i="91" s="1"/>
  <c r="V29" i="91"/>
  <c r="AR29" i="91" s="1"/>
  <c r="V20" i="91"/>
  <c r="V40" i="91"/>
  <c r="V23" i="91"/>
  <c r="AR23" i="91" s="1"/>
  <c r="V28" i="91"/>
  <c r="AR28" i="91" s="1"/>
  <c r="V39" i="91"/>
  <c r="AR39" i="91" s="1"/>
  <c r="V38" i="91"/>
  <c r="AR38" i="91" s="1"/>
  <c r="V27" i="91"/>
  <c r="V21" i="91"/>
  <c r="V33" i="91"/>
  <c r="V22" i="91"/>
  <c r="AR22" i="91" s="1"/>
  <c r="V37" i="91"/>
  <c r="V35" i="91"/>
  <c r="AR35" i="91" s="1"/>
  <c r="V41" i="91"/>
  <c r="AR41" i="91" s="1"/>
  <c r="V42" i="91"/>
  <c r="V24" i="91"/>
  <c r="AR24" i="91" s="1"/>
  <c r="V36" i="91"/>
  <c r="AR36" i="91" s="1"/>
  <c r="V34" i="91"/>
  <c r="V26" i="91"/>
  <c r="AR26" i="91" s="1"/>
  <c r="V25" i="91"/>
  <c r="AR25" i="91" s="1"/>
  <c r="AQ19" i="87"/>
  <c r="AQ32" i="87" s="1"/>
  <c r="V40" i="87"/>
  <c r="V35" i="87"/>
  <c r="V21" i="87"/>
  <c r="V84" i="87" s="1"/>
  <c r="AI41" i="110" s="1"/>
  <c r="V36" i="87"/>
  <c r="AR36" i="87" s="1"/>
  <c r="V24" i="87"/>
  <c r="V38" i="87"/>
  <c r="V23" i="87"/>
  <c r="AR23" i="87" s="1"/>
  <c r="V20" i="87"/>
  <c r="V34" i="87"/>
  <c r="V39" i="87"/>
  <c r="V27" i="87"/>
  <c r="V33" i="87"/>
  <c r="V26" i="87"/>
  <c r="V41" i="87"/>
  <c r="V28" i="87"/>
  <c r="AR28" i="87" s="1"/>
  <c r="V29" i="87"/>
  <c r="V25" i="87"/>
  <c r="V22" i="87"/>
  <c r="V42" i="87"/>
  <c r="V37" i="87"/>
  <c r="AR37" i="87" s="1"/>
  <c r="AO38" i="91"/>
  <c r="AO23" i="91"/>
  <c r="AO29" i="91"/>
  <c r="AO20" i="87"/>
  <c r="U30" i="87"/>
  <c r="U54" i="87" s="1"/>
  <c r="AH13" i="110" s="1"/>
  <c r="AO41" i="91"/>
  <c r="W35" i="28"/>
  <c r="W23" i="28"/>
  <c r="W25" i="28"/>
  <c r="AT19" i="28"/>
  <c r="AT32" i="28" s="1"/>
  <c r="W29" i="28"/>
  <c r="W24" i="28"/>
  <c r="W34" i="28"/>
  <c r="W22" i="28"/>
  <c r="AU22" i="28" s="1"/>
  <c r="W39" i="28"/>
  <c r="AU39" i="28" s="1"/>
  <c r="W41" i="28"/>
  <c r="W21" i="28"/>
  <c r="W112" i="28" s="1"/>
  <c r="V69" i="110" s="1"/>
  <c r="W37" i="28"/>
  <c r="AU37" i="28" s="1"/>
  <c r="W28" i="28"/>
  <c r="W27" i="28"/>
  <c r="W33" i="28"/>
  <c r="W20" i="28"/>
  <c r="W36" i="28"/>
  <c r="AU36" i="28" s="1"/>
  <c r="W42" i="28"/>
  <c r="W40" i="28"/>
  <c r="W26" i="28"/>
  <c r="W38" i="28"/>
  <c r="AO33" i="91"/>
  <c r="U46" i="91"/>
  <c r="U55" i="91" s="1"/>
  <c r="BJ14" i="110" s="1"/>
  <c r="AO25" i="91"/>
  <c r="S45" i="110" l="1"/>
  <c r="T89" i="28"/>
  <c r="S46" i="110" s="1"/>
  <c r="AB72" i="110"/>
  <c r="AB44" i="110"/>
  <c r="S102" i="93"/>
  <c r="S74" i="93"/>
  <c r="BJ64" i="110"/>
  <c r="AG45" i="110"/>
  <c r="AG46" i="110"/>
  <c r="AJ59" i="110"/>
  <c r="AJ60" i="110"/>
  <c r="AV59" i="110"/>
  <c r="AV60" i="110"/>
  <c r="AB16" i="110"/>
  <c r="AI59" i="110"/>
  <c r="AI60" i="110"/>
  <c r="AW59" i="110"/>
  <c r="AW60" i="110"/>
  <c r="BI59" i="110"/>
  <c r="BI60" i="110"/>
  <c r="BK59" i="110"/>
  <c r="BK60" i="110"/>
  <c r="AX59" i="110"/>
  <c r="AX60" i="110"/>
  <c r="BX60" i="110"/>
  <c r="AU59" i="110"/>
  <c r="AU60" i="110"/>
  <c r="BW60" i="110"/>
  <c r="AF45" i="110"/>
  <c r="AF46" i="110"/>
  <c r="S106" i="93"/>
  <c r="BV63" i="110" s="1"/>
  <c r="BX59" i="110"/>
  <c r="S74" i="89"/>
  <c r="D50" i="106"/>
  <c r="D57" i="110" s="1"/>
  <c r="S102" i="28"/>
  <c r="S103" i="28" s="1"/>
  <c r="BW59" i="110"/>
  <c r="S102" i="91"/>
  <c r="S103" i="91" s="1"/>
  <c r="S74" i="91"/>
  <c r="S102" i="89"/>
  <c r="S103" i="89" s="1"/>
  <c r="S74" i="87"/>
  <c r="U116" i="28"/>
  <c r="U117" i="28" s="1"/>
  <c r="F64" i="106"/>
  <c r="F71" i="110" s="1"/>
  <c r="N72" i="110"/>
  <c r="N65" i="106"/>
  <c r="U107" i="91"/>
  <c r="AF59" i="110"/>
  <c r="AH59" i="110"/>
  <c r="AG59" i="110"/>
  <c r="S116" i="28"/>
  <c r="S117" i="28" s="1"/>
  <c r="D64" i="106"/>
  <c r="D71" i="110" s="1"/>
  <c r="K57" i="46"/>
  <c r="W98" i="28"/>
  <c r="V55" i="110" s="1"/>
  <c r="S78" i="93"/>
  <c r="BV35" i="110" s="1"/>
  <c r="U106" i="93"/>
  <c r="BX63" i="110" s="1"/>
  <c r="T106" i="93"/>
  <c r="BW63" i="110" s="1"/>
  <c r="BY59" i="110"/>
  <c r="N51" i="106"/>
  <c r="R57" i="28"/>
  <c r="S73" i="110"/>
  <c r="S59" i="110"/>
  <c r="L48" i="46"/>
  <c r="W48" i="46" s="1"/>
  <c r="V48" i="46"/>
  <c r="U46" i="46"/>
  <c r="K46" i="46"/>
  <c r="U44" i="46"/>
  <c r="K44" i="46"/>
  <c r="X32" i="89"/>
  <c r="L57" i="46"/>
  <c r="V57" i="46"/>
  <c r="U40" i="46"/>
  <c r="K40" i="46"/>
  <c r="H32" i="89"/>
  <c r="L45" i="46"/>
  <c r="W45" i="46" s="1"/>
  <c r="V45" i="46"/>
  <c r="L56" i="46"/>
  <c r="W56" i="46" s="1"/>
  <c r="V56" i="46"/>
  <c r="U58" i="46"/>
  <c r="K58" i="46"/>
  <c r="U55" i="46"/>
  <c r="K55" i="46"/>
  <c r="U43" i="46"/>
  <c r="K43" i="46"/>
  <c r="U41" i="46"/>
  <c r="K41" i="46"/>
  <c r="U36" i="46"/>
  <c r="K36" i="46"/>
  <c r="U50" i="46"/>
  <c r="K50" i="46"/>
  <c r="U42" i="46"/>
  <c r="K42" i="46"/>
  <c r="U47" i="46"/>
  <c r="K47" i="46"/>
  <c r="L49" i="46"/>
  <c r="W49" i="46" s="1"/>
  <c r="V49" i="46"/>
  <c r="U39" i="46"/>
  <c r="K39" i="46"/>
  <c r="L3" i="46"/>
  <c r="W3" i="46" s="1"/>
  <c r="V3" i="46"/>
  <c r="U35" i="46"/>
  <c r="K35" i="46"/>
  <c r="U34" i="46"/>
  <c r="K34" i="46"/>
  <c r="L38" i="46"/>
  <c r="V38" i="46"/>
  <c r="AA45" i="28"/>
  <c r="AA45" i="87"/>
  <c r="AA99" i="87" s="1"/>
  <c r="AN56" i="110" s="1"/>
  <c r="AA45" i="89"/>
  <c r="AA99" i="89" s="1"/>
  <c r="BB56" i="110" s="1"/>
  <c r="AA45" i="91"/>
  <c r="AA99" i="91" s="1"/>
  <c r="BP56" i="110" s="1"/>
  <c r="AA45" i="93"/>
  <c r="AA99" i="93" s="1"/>
  <c r="CD56" i="110" s="1"/>
  <c r="K54" i="46"/>
  <c r="J43" i="89"/>
  <c r="J44" i="89"/>
  <c r="J43" i="87"/>
  <c r="J44" i="87"/>
  <c r="J43" i="91"/>
  <c r="J43" i="93"/>
  <c r="J44" i="91"/>
  <c r="J44" i="93"/>
  <c r="J43" i="28"/>
  <c r="J44" i="28"/>
  <c r="L22" i="46"/>
  <c r="W22" i="46" s="1"/>
  <c r="V22" i="46"/>
  <c r="U51" i="46"/>
  <c r="K51" i="46"/>
  <c r="I19" i="89"/>
  <c r="H51" i="89"/>
  <c r="V86" i="87"/>
  <c r="AI43" i="110" s="1"/>
  <c r="E6" i="106"/>
  <c r="E13" i="110" s="1"/>
  <c r="W102" i="93"/>
  <c r="W103" i="93" s="1"/>
  <c r="T74" i="91"/>
  <c r="T75" i="91" s="1"/>
  <c r="T74" i="89"/>
  <c r="T75" i="89" s="1"/>
  <c r="N37" i="106"/>
  <c r="N44" i="110"/>
  <c r="N9" i="106"/>
  <c r="C11" i="112" s="1"/>
  <c r="N16" i="110"/>
  <c r="T56" i="91"/>
  <c r="BI15" i="110" s="1"/>
  <c r="Y100" i="87"/>
  <c r="AL57" i="110" s="1"/>
  <c r="T56" i="93"/>
  <c r="BW15" i="110" s="1"/>
  <c r="X100" i="91"/>
  <c r="BM57" i="110" s="1"/>
  <c r="BY60" i="110"/>
  <c r="AR42" i="91"/>
  <c r="AR36" i="93"/>
  <c r="U88" i="28"/>
  <c r="U89" i="28" s="1"/>
  <c r="U54" i="89"/>
  <c r="AV13" i="110" s="1"/>
  <c r="T56" i="28"/>
  <c r="S15" i="110" s="1"/>
  <c r="U54" i="91"/>
  <c r="BJ13" i="110" s="1"/>
  <c r="AR38" i="93"/>
  <c r="AR42" i="87"/>
  <c r="AU38" i="28"/>
  <c r="AU36" i="89"/>
  <c r="T74" i="28"/>
  <c r="T75" i="28" s="1"/>
  <c r="AR27" i="91"/>
  <c r="G48" i="106"/>
  <c r="G55" i="110" s="1"/>
  <c r="AR37" i="91"/>
  <c r="AR41" i="87"/>
  <c r="AU22" i="89"/>
  <c r="U58" i="28"/>
  <c r="U74" i="28"/>
  <c r="U75" i="28" s="1"/>
  <c r="AR42" i="93"/>
  <c r="H62" i="106"/>
  <c r="H69" i="110" s="1"/>
  <c r="S74" i="110"/>
  <c r="E66" i="106"/>
  <c r="E73" i="110" s="1"/>
  <c r="V100" i="28"/>
  <c r="U57" i="110" s="1"/>
  <c r="G49" i="106"/>
  <c r="G56" i="110" s="1"/>
  <c r="V114" i="28"/>
  <c r="U71" i="110" s="1"/>
  <c r="G63" i="106"/>
  <c r="G70" i="110" s="1"/>
  <c r="U102" i="28"/>
  <c r="U103" i="28" s="1"/>
  <c r="F50" i="106"/>
  <c r="F57" i="110" s="1"/>
  <c r="E52" i="106"/>
  <c r="E59" i="110" s="1"/>
  <c r="S60" i="110"/>
  <c r="W113" i="28"/>
  <c r="V70" i="110" s="1"/>
  <c r="W99" i="28"/>
  <c r="V56" i="110" s="1"/>
  <c r="AK46" i="28"/>
  <c r="AL46" i="28" s="1"/>
  <c r="T74" i="93"/>
  <c r="T75" i="93" s="1"/>
  <c r="S74" i="28"/>
  <c r="S75" i="28" s="1"/>
  <c r="D36" i="106"/>
  <c r="D43" i="110" s="1"/>
  <c r="X102" i="87"/>
  <c r="X103" i="87" s="1"/>
  <c r="U14" i="46"/>
  <c r="K14" i="46"/>
  <c r="U13" i="46"/>
  <c r="K13" i="46"/>
  <c r="U23" i="46"/>
  <c r="K23" i="46"/>
  <c r="U29" i="46"/>
  <c r="K29" i="46"/>
  <c r="U27" i="46"/>
  <c r="K27" i="46"/>
  <c r="U30" i="46"/>
  <c r="K30" i="46"/>
  <c r="U21" i="46"/>
  <c r="K21" i="46"/>
  <c r="U26" i="46"/>
  <c r="K26" i="46"/>
  <c r="U7" i="46"/>
  <c r="K7" i="46"/>
  <c r="U15" i="46"/>
  <c r="K15" i="46"/>
  <c r="U24" i="46"/>
  <c r="K24" i="46"/>
  <c r="U11" i="46"/>
  <c r="K11" i="46"/>
  <c r="U12" i="46"/>
  <c r="K12" i="46"/>
  <c r="U25" i="46"/>
  <c r="K25" i="46"/>
  <c r="U28" i="46"/>
  <c r="K28" i="46"/>
  <c r="BA45" i="89"/>
  <c r="Y99" i="89"/>
  <c r="AZ56" i="110" s="1"/>
  <c r="BA45" i="91"/>
  <c r="Y99" i="91"/>
  <c r="BN56" i="110" s="1"/>
  <c r="X100" i="93"/>
  <c r="CA57" i="110" s="1"/>
  <c r="BA45" i="28"/>
  <c r="W102" i="91"/>
  <c r="W103" i="91" s="1"/>
  <c r="X53" i="91"/>
  <c r="W69" i="91"/>
  <c r="W83" i="91" s="1"/>
  <c r="W97" i="91" s="1"/>
  <c r="W111" i="91" s="1"/>
  <c r="X100" i="89"/>
  <c r="AY57" i="110" s="1"/>
  <c r="X53" i="89"/>
  <c r="W69" i="89"/>
  <c r="W83" i="89" s="1"/>
  <c r="W97" i="89" s="1"/>
  <c r="W111" i="89" s="1"/>
  <c r="X53" i="93"/>
  <c r="W69" i="93"/>
  <c r="W83" i="93" s="1"/>
  <c r="W97" i="93" s="1"/>
  <c r="W111" i="93" s="1"/>
  <c r="X53" i="28"/>
  <c r="W69" i="28"/>
  <c r="W83" i="28" s="1"/>
  <c r="W97" i="28" s="1"/>
  <c r="W111" i="28" s="1"/>
  <c r="BA45" i="93"/>
  <c r="Y99" i="93"/>
  <c r="CB56" i="110" s="1"/>
  <c r="W53" i="87"/>
  <c r="V69" i="87"/>
  <c r="V83" i="87" s="1"/>
  <c r="V97" i="87" s="1"/>
  <c r="V111" i="87" s="1"/>
  <c r="U22" i="46"/>
  <c r="T74" i="87"/>
  <c r="T75" i="87" s="1"/>
  <c r="T92" i="87"/>
  <c r="AG49" i="110" s="1"/>
  <c r="S88" i="28"/>
  <c r="S89" i="28" s="1"/>
  <c r="U86" i="87"/>
  <c r="AH43" i="110" s="1"/>
  <c r="F34" i="106"/>
  <c r="F41" i="110" s="1"/>
  <c r="G34" i="106"/>
  <c r="G41" i="110" s="1"/>
  <c r="D22" i="106"/>
  <c r="D29" i="110" s="1"/>
  <c r="AO30" i="89"/>
  <c r="AO46" i="89"/>
  <c r="U72" i="93"/>
  <c r="BX29" i="110" s="1"/>
  <c r="U72" i="89"/>
  <c r="AV29" i="110" s="1"/>
  <c r="E38" i="106"/>
  <c r="E45" i="110" s="1"/>
  <c r="W85" i="28"/>
  <c r="V42" i="110" s="1"/>
  <c r="W70" i="28"/>
  <c r="V27" i="110" s="1"/>
  <c r="F21" i="106"/>
  <c r="F28" i="110" s="1"/>
  <c r="V71" i="91"/>
  <c r="BK28" i="110" s="1"/>
  <c r="V70" i="91"/>
  <c r="BK27" i="110" s="1"/>
  <c r="V71" i="87"/>
  <c r="AI28" i="110" s="1"/>
  <c r="V70" i="93"/>
  <c r="BY27" i="110" s="1"/>
  <c r="F20" i="106"/>
  <c r="F27" i="110" s="1"/>
  <c r="W84" i="28"/>
  <c r="V41" i="110" s="1"/>
  <c r="W70" i="89"/>
  <c r="AX27" i="110" s="1"/>
  <c r="V72" i="28"/>
  <c r="U29" i="110" s="1"/>
  <c r="V72" i="89"/>
  <c r="AW29" i="110" s="1"/>
  <c r="V70" i="87"/>
  <c r="AI27" i="110" s="1"/>
  <c r="V86" i="28"/>
  <c r="U43" i="110" s="1"/>
  <c r="G35" i="106"/>
  <c r="G42" i="110" s="1"/>
  <c r="E7" i="106"/>
  <c r="E14" i="110" s="1"/>
  <c r="E22" i="106"/>
  <c r="E29" i="110" s="1"/>
  <c r="W71" i="89"/>
  <c r="AX28" i="110" s="1"/>
  <c r="V71" i="93"/>
  <c r="BY28" i="110" s="1"/>
  <c r="W71" i="28"/>
  <c r="V28" i="110" s="1"/>
  <c r="U72" i="91"/>
  <c r="BJ29" i="110" s="1"/>
  <c r="U72" i="87"/>
  <c r="AH29" i="110" s="1"/>
  <c r="BA45" i="87"/>
  <c r="S56" i="87"/>
  <c r="AF15" i="110" s="1"/>
  <c r="D7" i="106"/>
  <c r="D14" i="110" s="1"/>
  <c r="AT46" i="28"/>
  <c r="G46" i="28"/>
  <c r="AW44" i="28"/>
  <c r="AX44" i="28" s="1"/>
  <c r="U55" i="93"/>
  <c r="BX14" i="110" s="1"/>
  <c r="AU43" i="28"/>
  <c r="U55" i="87"/>
  <c r="AH14" i="110" s="1"/>
  <c r="V56" i="28"/>
  <c r="U15" i="110" s="1"/>
  <c r="V55" i="89"/>
  <c r="AW14" i="110" s="1"/>
  <c r="S56" i="91"/>
  <c r="BH15" i="110" s="1"/>
  <c r="S56" i="93"/>
  <c r="S56" i="89"/>
  <c r="AT15" i="110" s="1"/>
  <c r="T56" i="89"/>
  <c r="AU15" i="110" s="1"/>
  <c r="T58" i="87"/>
  <c r="S56" i="28"/>
  <c r="R15" i="110" s="1"/>
  <c r="AR43" i="91"/>
  <c r="AO46" i="91"/>
  <c r="AK46" i="91"/>
  <c r="AL46" i="91" s="1"/>
  <c r="AK46" i="89"/>
  <c r="AL46" i="89" s="1"/>
  <c r="AL44" i="89"/>
  <c r="AT46" i="91"/>
  <c r="AU43" i="91"/>
  <c r="AK46" i="87"/>
  <c r="AL46" i="87" s="1"/>
  <c r="AT44" i="87"/>
  <c r="G46" i="87"/>
  <c r="AT46" i="89"/>
  <c r="AU43" i="89"/>
  <c r="AK46" i="93"/>
  <c r="AL46" i="93" s="1"/>
  <c r="AZ43" i="93"/>
  <c r="AX44" i="93"/>
  <c r="AX44" i="87"/>
  <c r="J20" i="46"/>
  <c r="T20" i="46"/>
  <c r="AZ43" i="87"/>
  <c r="AX44" i="89"/>
  <c r="AX44" i="91"/>
  <c r="AZ43" i="91"/>
  <c r="J6" i="46"/>
  <c r="T6" i="46"/>
  <c r="U57" i="46"/>
  <c r="AI43" i="28"/>
  <c r="AH46" i="93"/>
  <c r="AI46" i="93" s="1"/>
  <c r="AI43" i="93"/>
  <c r="AR20" i="87"/>
  <c r="AU25" i="28"/>
  <c r="AI43" i="89"/>
  <c r="AH46" i="89"/>
  <c r="AI46" i="89" s="1"/>
  <c r="AO30" i="93"/>
  <c r="W24" i="93"/>
  <c r="AU24" i="93" s="1"/>
  <c r="W40" i="93"/>
  <c r="AU40" i="93" s="1"/>
  <c r="W25" i="93"/>
  <c r="W33" i="93"/>
  <c r="W21" i="93"/>
  <c r="AU21" i="93" s="1"/>
  <c r="W37" i="93"/>
  <c r="W26" i="93"/>
  <c r="AU26" i="93" s="1"/>
  <c r="W22" i="93"/>
  <c r="AU22" i="93" s="1"/>
  <c r="W36" i="93"/>
  <c r="AU36" i="93" s="1"/>
  <c r="W41" i="93"/>
  <c r="AU41" i="93" s="1"/>
  <c r="W38" i="93"/>
  <c r="AU38" i="93" s="1"/>
  <c r="W29" i="93"/>
  <c r="AU29" i="93" s="1"/>
  <c r="AT19" i="93"/>
  <c r="AT32" i="93" s="1"/>
  <c r="W27" i="93"/>
  <c r="AU27" i="93" s="1"/>
  <c r="W34" i="93"/>
  <c r="AU34" i="93" s="1"/>
  <c r="W35" i="93"/>
  <c r="AU35" i="93" s="1"/>
  <c r="W23" i="93"/>
  <c r="AU23" i="93" s="1"/>
  <c r="W28" i="93"/>
  <c r="AU28" i="93" s="1"/>
  <c r="W42" i="93"/>
  <c r="AU42" i="93" s="1"/>
  <c r="W20" i="93"/>
  <c r="W39" i="93"/>
  <c r="AU39" i="93" s="1"/>
  <c r="V46" i="93"/>
  <c r="AR33" i="93"/>
  <c r="AR20" i="93"/>
  <c r="V30" i="93"/>
  <c r="V54" i="93" s="1"/>
  <c r="BY13" i="110" s="1"/>
  <c r="H32" i="93"/>
  <c r="X32" i="93"/>
  <c r="X19" i="93"/>
  <c r="H51" i="93"/>
  <c r="I19" i="93"/>
  <c r="AO46" i="93"/>
  <c r="AR46" i="89"/>
  <c r="AU20" i="89"/>
  <c r="W30" i="89"/>
  <c r="W54" i="89" s="1"/>
  <c r="AX13" i="110" s="1"/>
  <c r="AR30" i="89"/>
  <c r="AW19" i="89"/>
  <c r="AW32" i="89" s="1"/>
  <c r="X27" i="89"/>
  <c r="X25" i="89"/>
  <c r="X33" i="89"/>
  <c r="X23" i="89"/>
  <c r="AX23" i="89" s="1"/>
  <c r="X42" i="89"/>
  <c r="AX42" i="89" s="1"/>
  <c r="X20" i="89"/>
  <c r="AX20" i="89" s="1"/>
  <c r="X38" i="89"/>
  <c r="AX38" i="89" s="1"/>
  <c r="X24" i="89"/>
  <c r="X40" i="89"/>
  <c r="AX40" i="89" s="1"/>
  <c r="X26" i="89"/>
  <c r="AX26" i="89" s="1"/>
  <c r="X37" i="89"/>
  <c r="AX37" i="89" s="1"/>
  <c r="X34" i="89"/>
  <c r="X22" i="89"/>
  <c r="AX22" i="89" s="1"/>
  <c r="X35" i="89"/>
  <c r="AX35" i="89" s="1"/>
  <c r="X21" i="89"/>
  <c r="AX21" i="89" s="1"/>
  <c r="X39" i="89"/>
  <c r="AX39" i="89" s="1"/>
  <c r="X36" i="89"/>
  <c r="AX36" i="89" s="1"/>
  <c r="X28" i="89"/>
  <c r="AX28" i="89" s="1"/>
  <c r="X29" i="89"/>
  <c r="X41" i="89"/>
  <c r="AX41" i="89" s="1"/>
  <c r="AU33" i="89"/>
  <c r="W46" i="89"/>
  <c r="W55" i="89" s="1"/>
  <c r="AX14" i="110" s="1"/>
  <c r="Y19" i="89"/>
  <c r="Y32" i="89"/>
  <c r="I51" i="89"/>
  <c r="J19" i="89"/>
  <c r="K19" i="89" s="1"/>
  <c r="I32" i="89"/>
  <c r="AO46" i="87"/>
  <c r="Z45" i="89"/>
  <c r="Z45" i="87"/>
  <c r="Z99" i="87" s="1"/>
  <c r="AM56" i="110" s="1"/>
  <c r="U38" i="46"/>
  <c r="Z45" i="28"/>
  <c r="Z45" i="93"/>
  <c r="Z45" i="91"/>
  <c r="J18" i="46"/>
  <c r="T18" i="46"/>
  <c r="J8" i="46"/>
  <c r="T8" i="46"/>
  <c r="J16" i="46"/>
  <c r="T16" i="46"/>
  <c r="AR26" i="87"/>
  <c r="AU26" i="28"/>
  <c r="AR33" i="87"/>
  <c r="V46" i="87"/>
  <c r="V55" i="87" s="1"/>
  <c r="AI14" i="110" s="1"/>
  <c r="AR40" i="91"/>
  <c r="I32" i="28"/>
  <c r="Y19" i="28"/>
  <c r="J19" i="28"/>
  <c r="K19" i="28" s="1"/>
  <c r="I51" i="28"/>
  <c r="Y32" i="28"/>
  <c r="AU40" i="28"/>
  <c r="AU21" i="28"/>
  <c r="AR27" i="87"/>
  <c r="AR21" i="87"/>
  <c r="AR34" i="91"/>
  <c r="AR33" i="91"/>
  <c r="V46" i="91"/>
  <c r="V55" i="91" s="1"/>
  <c r="BK14" i="110" s="1"/>
  <c r="AR20" i="91"/>
  <c r="V30" i="91"/>
  <c r="V54" i="91" s="1"/>
  <c r="BK13" i="110" s="1"/>
  <c r="AT19" i="91"/>
  <c r="AT32" i="91" s="1"/>
  <c r="W28" i="91"/>
  <c r="AU28" i="91" s="1"/>
  <c r="W24" i="91"/>
  <c r="AU24" i="91" s="1"/>
  <c r="W36" i="91"/>
  <c r="AU36" i="91" s="1"/>
  <c r="W42" i="91"/>
  <c r="W25" i="91"/>
  <c r="AU25" i="91" s="1"/>
  <c r="W23" i="91"/>
  <c r="AU23" i="91" s="1"/>
  <c r="W27" i="91"/>
  <c r="AU27" i="91" s="1"/>
  <c r="W26" i="91"/>
  <c r="W37" i="91"/>
  <c r="AU37" i="91" s="1"/>
  <c r="W39" i="91"/>
  <c r="W22" i="91"/>
  <c r="W20" i="91"/>
  <c r="W35" i="91"/>
  <c r="W41" i="91"/>
  <c r="W40" i="91"/>
  <c r="AU40" i="91" s="1"/>
  <c r="W38" i="91"/>
  <c r="W21" i="91"/>
  <c r="AU21" i="91" s="1"/>
  <c r="W34" i="91"/>
  <c r="AU34" i="91" s="1"/>
  <c r="W33" i="91"/>
  <c r="W29" i="91"/>
  <c r="AU29" i="28"/>
  <c r="AO30" i="87"/>
  <c r="AU42" i="28"/>
  <c r="AU41" i="28"/>
  <c r="AU23" i="28"/>
  <c r="V30" i="87"/>
  <c r="AR22" i="87"/>
  <c r="AR39" i="87"/>
  <c r="AR35" i="87"/>
  <c r="AR21" i="91"/>
  <c r="X38" i="28"/>
  <c r="AX38" i="28" s="1"/>
  <c r="X23" i="28"/>
  <c r="X26" i="28"/>
  <c r="X34" i="28"/>
  <c r="X41" i="28"/>
  <c r="AX41" i="28" s="1"/>
  <c r="X24" i="28"/>
  <c r="AX24" i="28" s="1"/>
  <c r="X27" i="28"/>
  <c r="AX27" i="28" s="1"/>
  <c r="X37" i="28"/>
  <c r="AW19" i="28"/>
  <c r="AW32" i="28" s="1"/>
  <c r="X33" i="28"/>
  <c r="X22" i="28"/>
  <c r="AX22" i="28" s="1"/>
  <c r="X36" i="28"/>
  <c r="AX36" i="28" s="1"/>
  <c r="X39" i="28"/>
  <c r="AX39" i="28" s="1"/>
  <c r="X29" i="28"/>
  <c r="AX29" i="28" s="1"/>
  <c r="X21" i="28"/>
  <c r="X112" i="28" s="1"/>
  <c r="W69" i="110" s="1"/>
  <c r="X25" i="28"/>
  <c r="X28" i="28"/>
  <c r="X42" i="28"/>
  <c r="AX42" i="28" s="1"/>
  <c r="X20" i="28"/>
  <c r="AX20" i="28" s="1"/>
  <c r="X35" i="28"/>
  <c r="AX35" i="28" s="1"/>
  <c r="X40" i="28"/>
  <c r="AX40" i="28" s="1"/>
  <c r="X19" i="91"/>
  <c r="I19" i="91"/>
  <c r="H32" i="91"/>
  <c r="H51" i="91"/>
  <c r="X32" i="91"/>
  <c r="AU28" i="28"/>
  <c r="AU35" i="28"/>
  <c r="AR25" i="87"/>
  <c r="AR34" i="87"/>
  <c r="AR40" i="87"/>
  <c r="AU20" i="28"/>
  <c r="W30" i="28"/>
  <c r="W54" i="28" s="1"/>
  <c r="V13" i="110" s="1"/>
  <c r="AR29" i="87"/>
  <c r="AO30" i="91"/>
  <c r="AT19" i="87"/>
  <c r="AT32" i="87" s="1"/>
  <c r="W41" i="87"/>
  <c r="AU41" i="87" s="1"/>
  <c r="W22" i="87"/>
  <c r="W39" i="87"/>
  <c r="AU39" i="87" s="1"/>
  <c r="W20" i="87"/>
  <c r="W23" i="87"/>
  <c r="AU23" i="87" s="1"/>
  <c r="W27" i="87"/>
  <c r="AU27" i="87" s="1"/>
  <c r="W28" i="87"/>
  <c r="W38" i="87"/>
  <c r="W21" i="87"/>
  <c r="W37" i="87"/>
  <c r="AU37" i="87" s="1"/>
  <c r="W42" i="87"/>
  <c r="W35" i="87"/>
  <c r="AU35" i="87" s="1"/>
  <c r="W36" i="87"/>
  <c r="AU36" i="87" s="1"/>
  <c r="W24" i="87"/>
  <c r="AU24" i="87" s="1"/>
  <c r="W25" i="87"/>
  <c r="AU25" i="87" s="1"/>
  <c r="W29" i="87"/>
  <c r="AU29" i="87" s="1"/>
  <c r="W40" i="87"/>
  <c r="AU40" i="87" s="1"/>
  <c r="W33" i="87"/>
  <c r="W34" i="87"/>
  <c r="AU34" i="87" s="1"/>
  <c r="W26" i="87"/>
  <c r="AU26" i="87" s="1"/>
  <c r="AR30" i="28"/>
  <c r="AR24" i="87"/>
  <c r="AR46" i="28"/>
  <c r="AU33" i="28"/>
  <c r="W46" i="28"/>
  <c r="W55" i="28" s="1"/>
  <c r="V14" i="110" s="1"/>
  <c r="AU34" i="28"/>
  <c r="AU27" i="28"/>
  <c r="AU24" i="28"/>
  <c r="AR38" i="87"/>
  <c r="H51" i="87"/>
  <c r="I19" i="87"/>
  <c r="X32" i="87"/>
  <c r="H32" i="87"/>
  <c r="X19" i="87"/>
  <c r="U3" i="46"/>
  <c r="BV59" i="110" l="1"/>
  <c r="S103" i="93"/>
  <c r="BV60" i="110" s="1"/>
  <c r="AX64" i="110"/>
  <c r="AW64" i="110"/>
  <c r="AU64" i="110"/>
  <c r="AV64" i="110"/>
  <c r="S75" i="93"/>
  <c r="BV32" i="110" s="1"/>
  <c r="BV31" i="110"/>
  <c r="R59" i="110"/>
  <c r="R60" i="110"/>
  <c r="R31" i="110"/>
  <c r="R32" i="110"/>
  <c r="S31" i="110"/>
  <c r="S32" i="110"/>
  <c r="T45" i="110"/>
  <c r="T46" i="110"/>
  <c r="BK64" i="110"/>
  <c r="T31" i="110"/>
  <c r="T32" i="110"/>
  <c r="D66" i="106"/>
  <c r="D73" i="110" s="1"/>
  <c r="R74" i="110"/>
  <c r="T17" i="110"/>
  <c r="U59" i="28"/>
  <c r="T18" i="110" s="1"/>
  <c r="T73" i="110"/>
  <c r="T74" i="110"/>
  <c r="AU31" i="110"/>
  <c r="AU32" i="110"/>
  <c r="BI31" i="110"/>
  <c r="BI32" i="110"/>
  <c r="AK59" i="110"/>
  <c r="AK60" i="110"/>
  <c r="AG17" i="110"/>
  <c r="T59" i="87"/>
  <c r="AG18" i="110" s="1"/>
  <c r="BL59" i="110"/>
  <c r="BL60" i="110"/>
  <c r="AG31" i="110"/>
  <c r="AG32" i="110"/>
  <c r="AI64" i="110"/>
  <c r="BH31" i="110"/>
  <c r="S75" i="91"/>
  <c r="BH32" i="110" s="1"/>
  <c r="BH59" i="110"/>
  <c r="AF31" i="110"/>
  <c r="S75" i="87"/>
  <c r="AF32" i="110" s="1"/>
  <c r="AT59" i="110"/>
  <c r="AT60" i="110"/>
  <c r="AT31" i="110"/>
  <c r="S75" i="89"/>
  <c r="AT32" i="110" s="1"/>
  <c r="V107" i="89"/>
  <c r="W107" i="89"/>
  <c r="BX64" i="110"/>
  <c r="T107" i="89"/>
  <c r="V107" i="91"/>
  <c r="U107" i="89"/>
  <c r="D52" i="106"/>
  <c r="D59" i="110" s="1"/>
  <c r="F66" i="106"/>
  <c r="F73" i="110" s="1"/>
  <c r="T107" i="91"/>
  <c r="V107" i="87"/>
  <c r="R73" i="110"/>
  <c r="S107" i="87"/>
  <c r="AF60" i="110"/>
  <c r="AF64" i="110" s="1"/>
  <c r="AG60" i="110"/>
  <c r="AG64" i="110" s="1"/>
  <c r="T107" i="87"/>
  <c r="AH60" i="110"/>
  <c r="AH64" i="110" s="1"/>
  <c r="U107" i="87"/>
  <c r="W57" i="46"/>
  <c r="AC44" i="28"/>
  <c r="R44" i="28" s="1"/>
  <c r="AC43" i="28"/>
  <c r="R43" i="28" s="1"/>
  <c r="BV15" i="110"/>
  <c r="U107" i="93"/>
  <c r="H48" i="106"/>
  <c r="H55" i="110" s="1"/>
  <c r="V106" i="93"/>
  <c r="BY63" i="110" s="1"/>
  <c r="T107" i="93"/>
  <c r="U56" i="91"/>
  <c r="BJ15" i="110" s="1"/>
  <c r="S106" i="28"/>
  <c r="R63" i="110" s="1"/>
  <c r="BZ59" i="110"/>
  <c r="BW31" i="110"/>
  <c r="T59" i="110"/>
  <c r="T120" i="28"/>
  <c r="T121" i="28" s="1"/>
  <c r="T106" i="28"/>
  <c r="T107" i="28" s="1"/>
  <c r="U120" i="28"/>
  <c r="R45" i="110"/>
  <c r="T58" i="93"/>
  <c r="T59" i="93" s="1"/>
  <c r="AA100" i="87"/>
  <c r="AN57" i="110" s="1"/>
  <c r="L13" i="46"/>
  <c r="W13" i="46" s="1"/>
  <c r="V13" i="46"/>
  <c r="L35" i="46"/>
  <c r="W35" i="46" s="1"/>
  <c r="V35" i="46"/>
  <c r="L12" i="46"/>
  <c r="W12" i="46" s="1"/>
  <c r="V12" i="46"/>
  <c r="L7" i="46"/>
  <c r="W7" i="46" s="1"/>
  <c r="V7" i="46"/>
  <c r="L27" i="46"/>
  <c r="W27" i="46" s="1"/>
  <c r="V27" i="46"/>
  <c r="L14" i="46"/>
  <c r="W14" i="46" s="1"/>
  <c r="V14" i="46"/>
  <c r="L42" i="46"/>
  <c r="W42" i="46" s="1"/>
  <c r="V42" i="46"/>
  <c r="L43" i="46"/>
  <c r="W43" i="46" s="1"/>
  <c r="V43" i="46"/>
  <c r="L44" i="46"/>
  <c r="W44" i="46" s="1"/>
  <c r="V44" i="46"/>
  <c r="L15" i="46"/>
  <c r="W15" i="46" s="1"/>
  <c r="V15" i="46"/>
  <c r="L30" i="46"/>
  <c r="W30" i="46" s="1"/>
  <c r="V30" i="46"/>
  <c r="L47" i="46"/>
  <c r="W47" i="46" s="1"/>
  <c r="V47" i="46"/>
  <c r="W38" i="46"/>
  <c r="AB45" i="28"/>
  <c r="AB45" i="87"/>
  <c r="AC45" i="87" s="1"/>
  <c r="AB45" i="89"/>
  <c r="AC45" i="89" s="1"/>
  <c r="AB45" i="93"/>
  <c r="AC45" i="93" s="1"/>
  <c r="AB45" i="91"/>
  <c r="AC45" i="91" s="1"/>
  <c r="L25" i="46"/>
  <c r="W25" i="46" s="1"/>
  <c r="V25" i="46"/>
  <c r="L41" i="46"/>
  <c r="W41" i="46" s="1"/>
  <c r="V41" i="46"/>
  <c r="L11" i="46"/>
  <c r="W11" i="46" s="1"/>
  <c r="V11" i="46"/>
  <c r="L26" i="46"/>
  <c r="W26" i="46" s="1"/>
  <c r="V26" i="46"/>
  <c r="L29" i="46"/>
  <c r="W29" i="46" s="1"/>
  <c r="V29" i="46"/>
  <c r="L54" i="46"/>
  <c r="K44" i="89"/>
  <c r="BF44" i="89" s="1"/>
  <c r="BG44" i="89" s="1"/>
  <c r="K43" i="89"/>
  <c r="BF43" i="89" s="1"/>
  <c r="K44" i="87"/>
  <c r="BF44" i="87" s="1"/>
  <c r="BG44" i="87" s="1"/>
  <c r="K43" i="87"/>
  <c r="BF43" i="87" s="1"/>
  <c r="K43" i="91"/>
  <c r="BF43" i="91" s="1"/>
  <c r="K44" i="91"/>
  <c r="BF44" i="91" s="1"/>
  <c r="BG44" i="91" s="1"/>
  <c r="K43" i="93"/>
  <c r="BF43" i="93" s="1"/>
  <c r="K44" i="93"/>
  <c r="BF44" i="93" s="1"/>
  <c r="BG44" i="93" s="1"/>
  <c r="K43" i="28"/>
  <c r="BF43" i="28" s="1"/>
  <c r="L39" i="46"/>
  <c r="W39" i="46" s="1"/>
  <c r="V39" i="46"/>
  <c r="L50" i="46"/>
  <c r="W50" i="46" s="1"/>
  <c r="V50" i="46"/>
  <c r="L55" i="46"/>
  <c r="W55" i="46" s="1"/>
  <c r="V55" i="46"/>
  <c r="L46" i="46"/>
  <c r="W46" i="46" s="1"/>
  <c r="V46" i="46"/>
  <c r="AA100" i="93"/>
  <c r="CD57" i="110" s="1"/>
  <c r="L40" i="46"/>
  <c r="W40" i="46" s="1"/>
  <c r="V40" i="46"/>
  <c r="L28" i="46"/>
  <c r="W28" i="46" s="1"/>
  <c r="V28" i="46"/>
  <c r="L24" i="46"/>
  <c r="W24" i="46" s="1"/>
  <c r="V24" i="46"/>
  <c r="L21" i="46"/>
  <c r="W21" i="46" s="1"/>
  <c r="V21" i="46"/>
  <c r="L23" i="46"/>
  <c r="W23" i="46" s="1"/>
  <c r="V23" i="46"/>
  <c r="L51" i="46"/>
  <c r="W51" i="46" s="1"/>
  <c r="V51" i="46"/>
  <c r="AA100" i="91"/>
  <c r="BP57" i="110" s="1"/>
  <c r="L34" i="46"/>
  <c r="W34" i="46" s="1"/>
  <c r="V34" i="46"/>
  <c r="L36" i="46"/>
  <c r="W36" i="46" s="1"/>
  <c r="V36" i="46"/>
  <c r="L58" i="46"/>
  <c r="W58" i="46" s="1"/>
  <c r="V58" i="46"/>
  <c r="AA100" i="89"/>
  <c r="BB57" i="110" s="1"/>
  <c r="W106" i="93"/>
  <c r="AA19" i="28"/>
  <c r="AA32" i="28"/>
  <c r="F6" i="106"/>
  <c r="F13" i="110" s="1"/>
  <c r="V88" i="87"/>
  <c r="V89" i="87" s="1"/>
  <c r="AA19" i="89"/>
  <c r="AA32" i="89"/>
  <c r="U56" i="89"/>
  <c r="AV15" i="110" s="1"/>
  <c r="AG50" i="110"/>
  <c r="U74" i="93"/>
  <c r="U75" i="93" s="1"/>
  <c r="Y102" i="87"/>
  <c r="Y103" i="87" s="1"/>
  <c r="Y100" i="91"/>
  <c r="BN57" i="110" s="1"/>
  <c r="T58" i="91"/>
  <c r="W107" i="87"/>
  <c r="Y100" i="89"/>
  <c r="AZ57" i="110" s="1"/>
  <c r="BW32" i="110"/>
  <c r="AJ64" i="110"/>
  <c r="X102" i="91"/>
  <c r="X103" i="91" s="1"/>
  <c r="Y100" i="93"/>
  <c r="CB57" i="110" s="1"/>
  <c r="E8" i="106"/>
  <c r="E15" i="110" s="1"/>
  <c r="AF50" i="110"/>
  <c r="V74" i="89"/>
  <c r="V75" i="89" s="1"/>
  <c r="V56" i="89"/>
  <c r="AW15" i="110" s="1"/>
  <c r="AP56" i="110"/>
  <c r="U56" i="93"/>
  <c r="BX15" i="110" s="1"/>
  <c r="U74" i="91"/>
  <c r="U75" i="91" s="1"/>
  <c r="BI64" i="110"/>
  <c r="BW64" i="110"/>
  <c r="AU25" i="93"/>
  <c r="AU38" i="87"/>
  <c r="V88" i="28"/>
  <c r="V89" i="28" s="1"/>
  <c r="H35" i="106"/>
  <c r="H42" i="110" s="1"/>
  <c r="AX34" i="89"/>
  <c r="AX28" i="28"/>
  <c r="AX29" i="89"/>
  <c r="AX24" i="89"/>
  <c r="E53" i="106"/>
  <c r="E60" i="110" s="1"/>
  <c r="V54" i="87"/>
  <c r="AI13" i="110" s="1"/>
  <c r="AX25" i="89"/>
  <c r="AU37" i="93"/>
  <c r="T58" i="28"/>
  <c r="I62" i="106"/>
  <c r="I69" i="110" s="1"/>
  <c r="AU35" i="91"/>
  <c r="AX27" i="89"/>
  <c r="V116" i="28"/>
  <c r="V117" i="28" s="1"/>
  <c r="G64" i="106"/>
  <c r="G71" i="110" s="1"/>
  <c r="T60" i="110"/>
  <c r="F52" i="106"/>
  <c r="F59" i="110" s="1"/>
  <c r="V102" i="28"/>
  <c r="V103" i="28" s="1"/>
  <c r="G50" i="106"/>
  <c r="G57" i="110" s="1"/>
  <c r="W100" i="28"/>
  <c r="V57" i="110" s="1"/>
  <c r="H49" i="106"/>
  <c r="H56" i="110" s="1"/>
  <c r="W114" i="28"/>
  <c r="V71" i="110" s="1"/>
  <c r="H63" i="106"/>
  <c r="H70" i="110" s="1"/>
  <c r="E67" i="106"/>
  <c r="E74" i="110" s="1"/>
  <c r="AX23" i="28"/>
  <c r="X98" i="28"/>
  <c r="W55" i="110" s="1"/>
  <c r="X113" i="28"/>
  <c r="W70" i="110" s="1"/>
  <c r="X99" i="28"/>
  <c r="W56" i="110" s="1"/>
  <c r="S58" i="28"/>
  <c r="S59" i="28" s="1"/>
  <c r="V55" i="93"/>
  <c r="BY14" i="110" s="1"/>
  <c r="S58" i="93"/>
  <c r="S59" i="93" s="1"/>
  <c r="U74" i="89"/>
  <c r="U75" i="89" s="1"/>
  <c r="S58" i="89"/>
  <c r="S59" i="89" s="1"/>
  <c r="S58" i="91"/>
  <c r="S59" i="91" s="1"/>
  <c r="T93" i="87"/>
  <c r="R46" i="110"/>
  <c r="L19" i="89"/>
  <c r="K32" i="89"/>
  <c r="K51" i="89"/>
  <c r="L19" i="28"/>
  <c r="K51" i="28"/>
  <c r="K32" i="28"/>
  <c r="U6" i="46"/>
  <c r="K6" i="46"/>
  <c r="U16" i="46"/>
  <c r="K16" i="46"/>
  <c r="U8" i="46"/>
  <c r="K8" i="46"/>
  <c r="U20" i="46"/>
  <c r="K20" i="46"/>
  <c r="U18" i="46"/>
  <c r="K18" i="46"/>
  <c r="BD45" i="93"/>
  <c r="Z99" i="93"/>
  <c r="CC56" i="110" s="1"/>
  <c r="Y53" i="28"/>
  <c r="X69" i="28"/>
  <c r="X83" i="28" s="1"/>
  <c r="X97" i="28" s="1"/>
  <c r="X111" i="28" s="1"/>
  <c r="X102" i="93"/>
  <c r="X103" i="93" s="1"/>
  <c r="Y53" i="89"/>
  <c r="X69" i="89"/>
  <c r="X83" i="89" s="1"/>
  <c r="X97" i="89" s="1"/>
  <c r="X111" i="89" s="1"/>
  <c r="BD45" i="91"/>
  <c r="Z99" i="91"/>
  <c r="BO56" i="110" s="1"/>
  <c r="Z100" i="87"/>
  <c r="AM57" i="110" s="1"/>
  <c r="Y53" i="93"/>
  <c r="X69" i="93"/>
  <c r="X83" i="93" s="1"/>
  <c r="X97" i="93" s="1"/>
  <c r="X111" i="93" s="1"/>
  <c r="BD45" i="89"/>
  <c r="Z99" i="89"/>
  <c r="BA56" i="110" s="1"/>
  <c r="X53" i="87"/>
  <c r="W69" i="87"/>
  <c r="W83" i="87" s="1"/>
  <c r="W97" i="87" s="1"/>
  <c r="W111" i="87" s="1"/>
  <c r="X102" i="89"/>
  <c r="X103" i="89" s="1"/>
  <c r="Y53" i="91"/>
  <c r="X69" i="91"/>
  <c r="X83" i="91" s="1"/>
  <c r="X97" i="91" s="1"/>
  <c r="X111" i="91" s="1"/>
  <c r="U74" i="87"/>
  <c r="U75" i="87" s="1"/>
  <c r="V92" i="87"/>
  <c r="AI49" i="110" s="1"/>
  <c r="F36" i="106"/>
  <c r="F43" i="110" s="1"/>
  <c r="U88" i="87"/>
  <c r="U89" i="87" s="1"/>
  <c r="V74" i="28"/>
  <c r="V75" i="28" s="1"/>
  <c r="S93" i="87"/>
  <c r="T78" i="87"/>
  <c r="AG35" i="110" s="1"/>
  <c r="AU21" i="87"/>
  <c r="W84" i="87"/>
  <c r="AJ41" i="110" s="1"/>
  <c r="D38" i="106"/>
  <c r="D45" i="110" s="1"/>
  <c r="X85" i="28"/>
  <c r="W42" i="110" s="1"/>
  <c r="W72" i="89"/>
  <c r="AX29" i="110" s="1"/>
  <c r="V72" i="91"/>
  <c r="BK29" i="110" s="1"/>
  <c r="V72" i="87"/>
  <c r="AI29" i="110" s="1"/>
  <c r="W70" i="87"/>
  <c r="AJ27" i="110" s="1"/>
  <c r="H46" i="28"/>
  <c r="AW43" i="28"/>
  <c r="AW46" i="28" s="1"/>
  <c r="W72" i="28"/>
  <c r="V29" i="110" s="1"/>
  <c r="AX21" i="28"/>
  <c r="X70" i="28"/>
  <c r="W27" i="110" s="1"/>
  <c r="X71" i="28"/>
  <c r="W28" i="110" s="1"/>
  <c r="V72" i="93"/>
  <c r="BY29" i="110" s="1"/>
  <c r="W70" i="91"/>
  <c r="BL27" i="110" s="1"/>
  <c r="W70" i="93"/>
  <c r="BZ27" i="110" s="1"/>
  <c r="W71" i="93"/>
  <c r="BZ28" i="110" s="1"/>
  <c r="F22" i="106"/>
  <c r="F29" i="110" s="1"/>
  <c r="W71" i="87"/>
  <c r="AJ28" i="110" s="1"/>
  <c r="W71" i="91"/>
  <c r="BL28" i="110" s="1"/>
  <c r="D24" i="106"/>
  <c r="D31" i="110" s="1"/>
  <c r="G36" i="106"/>
  <c r="G43" i="110" s="1"/>
  <c r="X70" i="89"/>
  <c r="AY27" i="110" s="1"/>
  <c r="E24" i="106"/>
  <c r="E31" i="110" s="1"/>
  <c r="W86" i="28"/>
  <c r="V43" i="110" s="1"/>
  <c r="X84" i="28"/>
  <c r="W41" i="110" s="1"/>
  <c r="X71" i="89"/>
  <c r="AY28" i="110" s="1"/>
  <c r="G20" i="106"/>
  <c r="G27" i="110" s="1"/>
  <c r="G21" i="106"/>
  <c r="G28" i="110" s="1"/>
  <c r="U56" i="87"/>
  <c r="AH15" i="110" s="1"/>
  <c r="F7" i="106"/>
  <c r="F14" i="110" s="1"/>
  <c r="S58" i="87"/>
  <c r="S59" i="87" s="1"/>
  <c r="D8" i="106"/>
  <c r="D15" i="110" s="1"/>
  <c r="BD45" i="87"/>
  <c r="V58" i="28"/>
  <c r="AZ43" i="28"/>
  <c r="BA43" i="28" s="1"/>
  <c r="AZ44" i="28"/>
  <c r="BA44" i="28" s="1"/>
  <c r="W56" i="28"/>
  <c r="V15" i="110" s="1"/>
  <c r="W56" i="89"/>
  <c r="AX15" i="110" s="1"/>
  <c r="V56" i="91"/>
  <c r="BK15" i="110" s="1"/>
  <c r="T58" i="89"/>
  <c r="I46" i="91"/>
  <c r="AT46" i="87"/>
  <c r="AU44" i="87"/>
  <c r="BC44" i="91"/>
  <c r="H46" i="91"/>
  <c r="AW43" i="91"/>
  <c r="H46" i="87"/>
  <c r="AW43" i="87"/>
  <c r="AW43" i="89"/>
  <c r="H46" i="89"/>
  <c r="AW43" i="93"/>
  <c r="H46" i="93"/>
  <c r="AX26" i="28"/>
  <c r="AX34" i="28"/>
  <c r="BD45" i="28"/>
  <c r="X25" i="93"/>
  <c r="AX25" i="93" s="1"/>
  <c r="X28" i="93"/>
  <c r="AX28" i="93" s="1"/>
  <c r="X22" i="93"/>
  <c r="AX22" i="93" s="1"/>
  <c r="X34" i="93"/>
  <c r="AX34" i="93" s="1"/>
  <c r="X33" i="93"/>
  <c r="X27" i="93"/>
  <c r="AX27" i="93" s="1"/>
  <c r="X29" i="93"/>
  <c r="AX29" i="93" s="1"/>
  <c r="X41" i="93"/>
  <c r="AX41" i="93" s="1"/>
  <c r="X23" i="93"/>
  <c r="AX23" i="93" s="1"/>
  <c r="AW19" i="93"/>
  <c r="AW32" i="93" s="1"/>
  <c r="X35" i="93"/>
  <c r="AX35" i="93" s="1"/>
  <c r="X20" i="93"/>
  <c r="AX20" i="93" s="1"/>
  <c r="X39" i="93"/>
  <c r="AX39" i="93" s="1"/>
  <c r="X24" i="93"/>
  <c r="AX24" i="93" s="1"/>
  <c r="X42" i="93"/>
  <c r="AX42" i="93" s="1"/>
  <c r="X26" i="93"/>
  <c r="AX26" i="93" s="1"/>
  <c r="X40" i="93"/>
  <c r="AX40" i="93" s="1"/>
  <c r="X36" i="93"/>
  <c r="X38" i="93"/>
  <c r="AX38" i="93" s="1"/>
  <c r="X37" i="93"/>
  <c r="AX37" i="93" s="1"/>
  <c r="X21" i="93"/>
  <c r="AX21" i="93" s="1"/>
  <c r="AU20" i="93"/>
  <c r="W30" i="93"/>
  <c r="AU33" i="93"/>
  <c r="W46" i="93"/>
  <c r="W55" i="93" s="1"/>
  <c r="BZ14" i="110" s="1"/>
  <c r="AR30" i="93"/>
  <c r="Y19" i="93"/>
  <c r="Y32" i="93"/>
  <c r="I51" i="93"/>
  <c r="I32" i="93"/>
  <c r="J19" i="93"/>
  <c r="K19" i="93" s="1"/>
  <c r="AR46" i="93"/>
  <c r="Z32" i="89"/>
  <c r="J51" i="89"/>
  <c r="J32" i="89"/>
  <c r="Z19" i="89"/>
  <c r="BC19" i="89" s="1"/>
  <c r="AX33" i="89"/>
  <c r="X46" i="89"/>
  <c r="AU30" i="89"/>
  <c r="AZ19" i="89"/>
  <c r="AZ32" i="89" s="1"/>
  <c r="Y37" i="89"/>
  <c r="BA37" i="89" s="1"/>
  <c r="Y36" i="89"/>
  <c r="BA36" i="89" s="1"/>
  <c r="Y24" i="89"/>
  <c r="BA24" i="89" s="1"/>
  <c r="Y20" i="89"/>
  <c r="BA20" i="89" s="1"/>
  <c r="Y35" i="89"/>
  <c r="BA35" i="89" s="1"/>
  <c r="Y25" i="89"/>
  <c r="BA25" i="89" s="1"/>
  <c r="Y33" i="89"/>
  <c r="BA33" i="89" s="1"/>
  <c r="Y34" i="89"/>
  <c r="BA34" i="89" s="1"/>
  <c r="Y41" i="89"/>
  <c r="BA41" i="89" s="1"/>
  <c r="Y42" i="89"/>
  <c r="BA42" i="89" s="1"/>
  <c r="Y39" i="89"/>
  <c r="BA39" i="89" s="1"/>
  <c r="Y22" i="89"/>
  <c r="Y27" i="89"/>
  <c r="BA27" i="89" s="1"/>
  <c r="Y28" i="89"/>
  <c r="BA28" i="89" s="1"/>
  <c r="Y23" i="89"/>
  <c r="BA23" i="89" s="1"/>
  <c r="Y26" i="89"/>
  <c r="BA26" i="89" s="1"/>
  <c r="Y21" i="89"/>
  <c r="BA21" i="89" s="1"/>
  <c r="Y38" i="89"/>
  <c r="BA38" i="89" s="1"/>
  <c r="Y29" i="89"/>
  <c r="BA29" i="89" s="1"/>
  <c r="Y40" i="89"/>
  <c r="BA40" i="89" s="1"/>
  <c r="X30" i="89"/>
  <c r="X54" i="89" s="1"/>
  <c r="AY13" i="110" s="1"/>
  <c r="AU46" i="89"/>
  <c r="BA43" i="91"/>
  <c r="BA43" i="93"/>
  <c r="BA43" i="87"/>
  <c r="AU20" i="87"/>
  <c r="W30" i="87"/>
  <c r="W54" i="87" s="1"/>
  <c r="AJ13" i="110" s="1"/>
  <c r="J32" i="28"/>
  <c r="J51" i="28"/>
  <c r="Z19" i="28"/>
  <c r="BC19" i="28" s="1"/>
  <c r="Z32" i="28"/>
  <c r="I51" i="91"/>
  <c r="Y19" i="91"/>
  <c r="Y32" i="91"/>
  <c r="J19" i="91"/>
  <c r="K19" i="91" s="1"/>
  <c r="I32" i="91"/>
  <c r="AU41" i="91"/>
  <c r="AU42" i="87"/>
  <c r="AU29" i="91"/>
  <c r="AR46" i="91"/>
  <c r="Y39" i="28"/>
  <c r="BA39" i="28" s="1"/>
  <c r="Y23" i="28"/>
  <c r="Y36" i="28"/>
  <c r="Y28" i="28"/>
  <c r="BA28" i="28" s="1"/>
  <c r="Y41" i="28"/>
  <c r="Y35" i="28"/>
  <c r="Y37" i="28"/>
  <c r="BA37" i="28" s="1"/>
  <c r="AZ19" i="28"/>
  <c r="AZ32" i="28" s="1"/>
  <c r="Y24" i="28"/>
  <c r="BA24" i="28" s="1"/>
  <c r="Y40" i="28"/>
  <c r="BA40" i="28" s="1"/>
  <c r="Y22" i="28"/>
  <c r="BA22" i="28" s="1"/>
  <c r="Y38" i="28"/>
  <c r="Y42" i="28"/>
  <c r="Y33" i="28"/>
  <c r="Y99" i="28" s="1"/>
  <c r="X56" i="110" s="1"/>
  <c r="Y34" i="28"/>
  <c r="Y25" i="28"/>
  <c r="BA25" i="28" s="1"/>
  <c r="Y21" i="28"/>
  <c r="Y29" i="28"/>
  <c r="BA29" i="28" s="1"/>
  <c r="Y27" i="28"/>
  <c r="BA27" i="28" s="1"/>
  <c r="Y20" i="28"/>
  <c r="BA20" i="28" s="1"/>
  <c r="Y26" i="28"/>
  <c r="BA26" i="28" s="1"/>
  <c r="AR30" i="91"/>
  <c r="AU33" i="87"/>
  <c r="W46" i="87"/>
  <c r="W55" i="87" s="1"/>
  <c r="AJ14" i="110" s="1"/>
  <c r="AU22" i="87"/>
  <c r="AR30" i="87"/>
  <c r="AU33" i="91"/>
  <c r="W46" i="91"/>
  <c r="W55" i="91" s="1"/>
  <c r="BL14" i="110" s="1"/>
  <c r="AU22" i="91"/>
  <c r="AU20" i="91"/>
  <c r="W30" i="91"/>
  <c r="W54" i="91" s="1"/>
  <c r="BL13" i="110" s="1"/>
  <c r="X30" i="28"/>
  <c r="X54" i="28" s="1"/>
  <c r="W13" i="110" s="1"/>
  <c r="AU39" i="91"/>
  <c r="AX33" i="28"/>
  <c r="X46" i="28"/>
  <c r="AU30" i="28"/>
  <c r="I32" i="87"/>
  <c r="Y32" i="87"/>
  <c r="J19" i="87"/>
  <c r="K19" i="87" s="1"/>
  <c r="I51" i="87"/>
  <c r="Y19" i="87"/>
  <c r="AU46" i="28"/>
  <c r="AU28" i="87"/>
  <c r="AU38" i="91"/>
  <c r="AU26" i="91"/>
  <c r="AW19" i="91"/>
  <c r="AW32" i="91" s="1"/>
  <c r="X24" i="91"/>
  <c r="X36" i="91"/>
  <c r="X23" i="91"/>
  <c r="AX23" i="91" s="1"/>
  <c r="X39" i="91"/>
  <c r="AX39" i="91" s="1"/>
  <c r="X26" i="91"/>
  <c r="AX26" i="91" s="1"/>
  <c r="X25" i="91"/>
  <c r="X42" i="91"/>
  <c r="AX42" i="91" s="1"/>
  <c r="X21" i="91"/>
  <c r="X40" i="91"/>
  <c r="AX40" i="91" s="1"/>
  <c r="X22" i="91"/>
  <c r="AX22" i="91" s="1"/>
  <c r="X41" i="91"/>
  <c r="AX41" i="91" s="1"/>
  <c r="X28" i="91"/>
  <c r="X34" i="91"/>
  <c r="AX34" i="91" s="1"/>
  <c r="X37" i="91"/>
  <c r="X33" i="91"/>
  <c r="X38" i="91"/>
  <c r="AX38" i="91" s="1"/>
  <c r="X35" i="91"/>
  <c r="X20" i="91"/>
  <c r="AX20" i="91" s="1"/>
  <c r="X27" i="91"/>
  <c r="X29" i="91"/>
  <c r="AX29" i="91" s="1"/>
  <c r="AU42" i="91"/>
  <c r="AW19" i="87"/>
  <c r="AW32" i="87" s="1"/>
  <c r="X38" i="87"/>
  <c r="X35" i="87"/>
  <c r="AX35" i="87" s="1"/>
  <c r="X36" i="87"/>
  <c r="AX36" i="87" s="1"/>
  <c r="X22" i="87"/>
  <c r="AX22" i="87" s="1"/>
  <c r="X26" i="87"/>
  <c r="AX26" i="87" s="1"/>
  <c r="X28" i="87"/>
  <c r="AX28" i="87" s="1"/>
  <c r="X33" i="87"/>
  <c r="X42" i="87"/>
  <c r="AX42" i="87" s="1"/>
  <c r="X29" i="87"/>
  <c r="X27" i="87"/>
  <c r="X24" i="87"/>
  <c r="AX24" i="87" s="1"/>
  <c r="X34" i="87"/>
  <c r="AX34" i="87" s="1"/>
  <c r="X25" i="87"/>
  <c r="X23" i="87"/>
  <c r="X41" i="87"/>
  <c r="AX41" i="87" s="1"/>
  <c r="X40" i="87"/>
  <c r="AX40" i="87" s="1"/>
  <c r="X37" i="87"/>
  <c r="AX37" i="87" s="1"/>
  <c r="X39" i="87"/>
  <c r="X21" i="87"/>
  <c r="X20" i="87"/>
  <c r="AX20" i="87" s="1"/>
  <c r="AX25" i="28"/>
  <c r="AX37" i="28"/>
  <c r="AR46" i="87"/>
  <c r="BV64" i="110" l="1"/>
  <c r="S107" i="93"/>
  <c r="BI36" i="110"/>
  <c r="S79" i="93"/>
  <c r="AF36" i="110"/>
  <c r="BV36" i="110"/>
  <c r="AT64" i="110"/>
  <c r="U31" i="110"/>
  <c r="U32" i="110"/>
  <c r="S17" i="110"/>
  <c r="T59" i="28"/>
  <c r="S18" i="110" s="1"/>
  <c r="U17" i="110"/>
  <c r="V59" i="28"/>
  <c r="U18" i="110" s="1"/>
  <c r="U45" i="110"/>
  <c r="U46" i="110"/>
  <c r="BJ31" i="110"/>
  <c r="BJ32" i="110"/>
  <c r="AY59" i="110"/>
  <c r="AY60" i="110"/>
  <c r="BM59" i="110"/>
  <c r="AI45" i="110"/>
  <c r="AI46" i="110"/>
  <c r="AL59" i="110"/>
  <c r="AL60" i="110"/>
  <c r="AH45" i="110"/>
  <c r="AH46" i="110"/>
  <c r="AW31" i="110"/>
  <c r="AW32" i="110"/>
  <c r="AU17" i="110"/>
  <c r="T59" i="89"/>
  <c r="AU18" i="110" s="1"/>
  <c r="AH31" i="110"/>
  <c r="AH32" i="110"/>
  <c r="BI17" i="110"/>
  <c r="T59" i="91"/>
  <c r="AV31" i="110"/>
  <c r="AV32" i="110"/>
  <c r="S79" i="89"/>
  <c r="S79" i="91"/>
  <c r="F67" i="106"/>
  <c r="F74" i="110" s="1"/>
  <c r="R64" i="110"/>
  <c r="S79" i="87"/>
  <c r="BH60" i="110"/>
  <c r="BH64" i="110" s="1"/>
  <c r="S107" i="91"/>
  <c r="S107" i="89"/>
  <c r="D53" i="106"/>
  <c r="D60" i="110" s="1"/>
  <c r="U121" i="28"/>
  <c r="AC2" i="107"/>
  <c r="D67" i="106"/>
  <c r="D74" i="110" s="1"/>
  <c r="S120" i="28"/>
  <c r="S121" i="28" s="1"/>
  <c r="K44" i="28"/>
  <c r="BF44" i="28" s="1"/>
  <c r="BG44" i="28" s="1"/>
  <c r="R17" i="110"/>
  <c r="R18" i="110"/>
  <c r="BH17" i="110"/>
  <c r="BH18" i="110"/>
  <c r="AF17" i="110"/>
  <c r="AF18" i="110"/>
  <c r="AT17" i="110"/>
  <c r="AT18" i="110"/>
  <c r="V56" i="87"/>
  <c r="AI15" i="110" s="1"/>
  <c r="S107" i="28"/>
  <c r="U78" i="28"/>
  <c r="T35" i="110" s="1"/>
  <c r="T36" i="110" s="1"/>
  <c r="D56" i="106"/>
  <c r="D63" i="110" s="1"/>
  <c r="V107" i="93"/>
  <c r="U58" i="91"/>
  <c r="BZ63" i="110"/>
  <c r="T78" i="93"/>
  <c r="T79" i="93" s="1"/>
  <c r="CA59" i="110"/>
  <c r="BX31" i="110"/>
  <c r="BV17" i="110"/>
  <c r="BW17" i="110"/>
  <c r="BZ60" i="110"/>
  <c r="BW18" i="110"/>
  <c r="S92" i="28"/>
  <c r="R49" i="110" s="1"/>
  <c r="R50" i="110" s="1"/>
  <c r="U106" i="28"/>
  <c r="U107" i="28" s="1"/>
  <c r="AD2" i="107" s="1"/>
  <c r="T77" i="110"/>
  <c r="T78" i="110" s="1"/>
  <c r="F70" i="106"/>
  <c r="F77" i="110" s="1"/>
  <c r="U59" i="110"/>
  <c r="S77" i="110"/>
  <c r="S78" i="110" s="1"/>
  <c r="E70" i="106"/>
  <c r="E77" i="110" s="1"/>
  <c r="E78" i="110" s="1"/>
  <c r="U73" i="110"/>
  <c r="S63" i="110"/>
  <c r="S64" i="110" s="1"/>
  <c r="E56" i="106"/>
  <c r="E63" i="110" s="1"/>
  <c r="E64" i="110" s="1"/>
  <c r="T79" i="91"/>
  <c r="AF45" i="87"/>
  <c r="R45" i="87"/>
  <c r="AF45" i="89"/>
  <c r="R45" i="89"/>
  <c r="AF45" i="91"/>
  <c r="R45" i="91"/>
  <c r="AF45" i="93"/>
  <c r="R45" i="93"/>
  <c r="W107" i="93"/>
  <c r="L6" i="46"/>
  <c r="W6" i="46" s="1"/>
  <c r="V6" i="46"/>
  <c r="L43" i="89"/>
  <c r="M43" i="89" s="1"/>
  <c r="L44" i="87"/>
  <c r="BI44" i="87" s="1"/>
  <c r="BJ44" i="87" s="1"/>
  <c r="L44" i="89"/>
  <c r="BI44" i="89" s="1"/>
  <c r="BJ44" i="89" s="1"/>
  <c r="L43" i="87"/>
  <c r="L44" i="93"/>
  <c r="BI44" i="93" s="1"/>
  <c r="BJ44" i="93" s="1"/>
  <c r="L44" i="91"/>
  <c r="BI44" i="91" s="1"/>
  <c r="BJ44" i="91" s="1"/>
  <c r="L43" i="93"/>
  <c r="M43" i="93" s="1"/>
  <c r="L43" i="91"/>
  <c r="M43" i="91" s="1"/>
  <c r="L44" i="28"/>
  <c r="BI44" i="28" s="1"/>
  <c r="BJ44" i="28" s="1"/>
  <c r="L43" i="28"/>
  <c r="BJ45" i="28"/>
  <c r="BG45" i="28"/>
  <c r="BG43" i="93"/>
  <c r="BF46" i="93"/>
  <c r="L20" i="46"/>
  <c r="W20" i="46" s="1"/>
  <c r="V20" i="46"/>
  <c r="AC45" i="28"/>
  <c r="R45" i="28" s="1"/>
  <c r="AA102" i="93"/>
  <c r="AA103" i="93" s="1"/>
  <c r="BG43" i="91"/>
  <c r="BF46" i="91"/>
  <c r="L18" i="46"/>
  <c r="W18" i="46" s="1"/>
  <c r="V18" i="46"/>
  <c r="L8" i="46"/>
  <c r="W8" i="46" s="1"/>
  <c r="V8" i="46"/>
  <c r="BG43" i="87"/>
  <c r="BF46" i="87"/>
  <c r="AB99" i="91"/>
  <c r="BQ56" i="110" s="1"/>
  <c r="BG45" i="91"/>
  <c r="BJ45" i="91"/>
  <c r="AA102" i="89"/>
  <c r="AA103" i="89" s="1"/>
  <c r="AA102" i="91"/>
  <c r="AA103" i="91" s="1"/>
  <c r="AB99" i="93"/>
  <c r="CE56" i="110" s="1"/>
  <c r="BJ45" i="93"/>
  <c r="BG45" i="93"/>
  <c r="L16" i="46"/>
  <c r="W16" i="46" s="1"/>
  <c r="V16" i="46"/>
  <c r="T79" i="89"/>
  <c r="AU36" i="110"/>
  <c r="BG43" i="89"/>
  <c r="BF46" i="89"/>
  <c r="AB99" i="89"/>
  <c r="BC56" i="110" s="1"/>
  <c r="BJ45" i="89"/>
  <c r="BG45" i="89"/>
  <c r="AA102" i="87"/>
  <c r="AA103" i="87" s="1"/>
  <c r="BG43" i="28"/>
  <c r="AB99" i="87"/>
  <c r="AO56" i="110" s="1"/>
  <c r="BJ45" i="87"/>
  <c r="BG45" i="87"/>
  <c r="U58" i="89"/>
  <c r="G6" i="106"/>
  <c r="G13" i="110" s="1"/>
  <c r="AA32" i="93"/>
  <c r="AA19" i="93"/>
  <c r="AB19" i="89"/>
  <c r="AB32" i="89"/>
  <c r="AA19" i="91"/>
  <c r="AA32" i="91"/>
  <c r="AA39" i="89"/>
  <c r="AA35" i="89"/>
  <c r="AA29" i="89"/>
  <c r="BG29" i="89" s="1"/>
  <c r="AA25" i="89"/>
  <c r="BG25" i="89" s="1"/>
  <c r="AA21" i="89"/>
  <c r="BG21" i="89" s="1"/>
  <c r="AA42" i="89"/>
  <c r="AA38" i="89"/>
  <c r="AA34" i="89"/>
  <c r="AA28" i="89"/>
  <c r="BG28" i="89" s="1"/>
  <c r="AA24" i="89"/>
  <c r="BG24" i="89" s="1"/>
  <c r="AA20" i="89"/>
  <c r="AA22" i="89"/>
  <c r="BG22" i="89" s="1"/>
  <c r="AA41" i="89"/>
  <c r="AA37" i="89"/>
  <c r="AA33" i="89"/>
  <c r="AA27" i="89"/>
  <c r="BG27" i="89" s="1"/>
  <c r="AA23" i="89"/>
  <c r="AA40" i="89"/>
  <c r="AA26" i="89"/>
  <c r="BG26" i="89" s="1"/>
  <c r="BF19" i="89"/>
  <c r="BF32" i="89" s="1"/>
  <c r="AA36" i="89"/>
  <c r="AA19" i="87"/>
  <c r="AA32" i="87"/>
  <c r="AB32" i="28"/>
  <c r="AB19" i="28"/>
  <c r="AA41" i="28"/>
  <c r="AA37" i="28"/>
  <c r="AA33" i="28"/>
  <c r="AA27" i="28"/>
  <c r="BG27" i="28" s="1"/>
  <c r="AA23" i="28"/>
  <c r="BG23" i="28" s="1"/>
  <c r="AA28" i="28"/>
  <c r="BG28" i="28" s="1"/>
  <c r="BF19" i="28"/>
  <c r="BF32" i="28" s="1"/>
  <c r="AA40" i="28"/>
  <c r="AA36" i="28"/>
  <c r="AA26" i="28"/>
  <c r="BG26" i="28" s="1"/>
  <c r="AA22" i="28"/>
  <c r="BG22" i="28" s="1"/>
  <c r="AA42" i="28"/>
  <c r="AA39" i="28"/>
  <c r="AA35" i="28"/>
  <c r="AA29" i="28"/>
  <c r="BG29" i="28" s="1"/>
  <c r="AA25" i="28"/>
  <c r="BG25" i="28" s="1"/>
  <c r="AA21" i="28"/>
  <c r="AA34" i="28"/>
  <c r="AA20" i="28"/>
  <c r="AA38" i="28"/>
  <c r="AA24" i="28"/>
  <c r="BG24" i="28" s="1"/>
  <c r="BL64" i="110"/>
  <c r="BR56" i="110"/>
  <c r="D25" i="106"/>
  <c r="D32" i="110" s="1"/>
  <c r="CF56" i="110"/>
  <c r="AG36" i="110"/>
  <c r="Y102" i="91"/>
  <c r="Y103" i="91" s="1"/>
  <c r="V74" i="87"/>
  <c r="V75" i="87" s="1"/>
  <c r="BV18" i="110"/>
  <c r="BH36" i="110"/>
  <c r="G7" i="106"/>
  <c r="G14" i="110" s="1"/>
  <c r="AT36" i="110"/>
  <c r="W58" i="89"/>
  <c r="W74" i="89"/>
  <c r="W75" i="89" s="1"/>
  <c r="BY64" i="110"/>
  <c r="BD56" i="110"/>
  <c r="X107" i="87"/>
  <c r="AK64" i="110"/>
  <c r="U58" i="93"/>
  <c r="U59" i="93" s="1"/>
  <c r="BM60" i="110"/>
  <c r="Y102" i="89"/>
  <c r="Y103" i="89" s="1"/>
  <c r="Y102" i="93"/>
  <c r="Y103" i="93" s="1"/>
  <c r="BX32" i="110"/>
  <c r="AP57" i="110"/>
  <c r="V58" i="89"/>
  <c r="E10" i="106"/>
  <c r="E17" i="110" s="1"/>
  <c r="W58" i="28"/>
  <c r="W54" i="93"/>
  <c r="BZ13" i="110" s="1"/>
  <c r="I35" i="106"/>
  <c r="I42" i="110" s="1"/>
  <c r="I48" i="106"/>
  <c r="I55" i="110" s="1"/>
  <c r="F8" i="106"/>
  <c r="F15" i="110" s="1"/>
  <c r="AX27" i="91"/>
  <c r="BA22" i="89"/>
  <c r="W88" i="28"/>
  <c r="W89" i="28" s="1"/>
  <c r="U62" i="28"/>
  <c r="T21" i="110" s="1"/>
  <c r="J49" i="106"/>
  <c r="J56" i="110" s="1"/>
  <c r="AX36" i="93"/>
  <c r="AX23" i="87"/>
  <c r="H64" i="106"/>
  <c r="H71" i="110" s="1"/>
  <c r="V56" i="93"/>
  <c r="BY15" i="110" s="1"/>
  <c r="W116" i="28"/>
  <c r="W117" i="28" s="1"/>
  <c r="X114" i="28"/>
  <c r="W71" i="110" s="1"/>
  <c r="I63" i="106"/>
  <c r="I70" i="110" s="1"/>
  <c r="G52" i="106"/>
  <c r="G59" i="110" s="1"/>
  <c r="U60" i="110"/>
  <c r="X100" i="28"/>
  <c r="W57" i="110" s="1"/>
  <c r="I49" i="106"/>
  <c r="I56" i="110" s="1"/>
  <c r="F53" i="106"/>
  <c r="F60" i="110" s="1"/>
  <c r="W102" i="28"/>
  <c r="W103" i="28" s="1"/>
  <c r="H50" i="106"/>
  <c r="H57" i="110" s="1"/>
  <c r="U74" i="110"/>
  <c r="G66" i="106"/>
  <c r="G73" i="110" s="1"/>
  <c r="BA23" i="28"/>
  <c r="Y98" i="28"/>
  <c r="X55" i="110" s="1"/>
  <c r="BA21" i="28"/>
  <c r="Y112" i="28"/>
  <c r="X69" i="110" s="1"/>
  <c r="BA33" i="28"/>
  <c r="Y113" i="28"/>
  <c r="X70" i="110" s="1"/>
  <c r="Z100" i="89"/>
  <c r="BA57" i="110" s="1"/>
  <c r="Z100" i="93"/>
  <c r="CC57" i="110" s="1"/>
  <c r="V74" i="91"/>
  <c r="V75" i="91" s="1"/>
  <c r="V74" i="93"/>
  <c r="V75" i="93" s="1"/>
  <c r="Z100" i="91"/>
  <c r="BO57" i="110" s="1"/>
  <c r="X55" i="28"/>
  <c r="W14" i="110" s="1"/>
  <c r="F38" i="106"/>
  <c r="F45" i="110" s="1"/>
  <c r="W107" i="91"/>
  <c r="L32" i="28"/>
  <c r="L51" i="28"/>
  <c r="L19" i="91"/>
  <c r="K51" i="91"/>
  <c r="K32" i="91"/>
  <c r="L19" i="93"/>
  <c r="K51" i="93"/>
  <c r="K32" i="93"/>
  <c r="L32" i="89"/>
  <c r="L51" i="89"/>
  <c r="L19" i="87"/>
  <c r="K51" i="87"/>
  <c r="K32" i="87"/>
  <c r="F24" i="106"/>
  <c r="F31" i="110" s="1"/>
  <c r="Z53" i="93"/>
  <c r="Y69" i="93"/>
  <c r="Y83" i="93" s="1"/>
  <c r="Y97" i="93" s="1"/>
  <c r="Y111" i="93" s="1"/>
  <c r="Z53" i="89"/>
  <c r="Y69" i="89"/>
  <c r="Y83" i="89" s="1"/>
  <c r="Y97" i="89" s="1"/>
  <c r="Y111" i="89" s="1"/>
  <c r="Z53" i="91"/>
  <c r="Y69" i="91"/>
  <c r="Y83" i="91" s="1"/>
  <c r="Y97" i="91" s="1"/>
  <c r="Y111" i="91" s="1"/>
  <c r="Y53" i="87"/>
  <c r="X69" i="87"/>
  <c r="X83" i="87" s="1"/>
  <c r="X97" i="87" s="1"/>
  <c r="X111" i="87" s="1"/>
  <c r="Z102" i="87"/>
  <c r="Z103" i="87" s="1"/>
  <c r="CA60" i="110"/>
  <c r="Z53" i="28"/>
  <c r="Y69" i="28"/>
  <c r="Y83" i="28" s="1"/>
  <c r="Y97" i="28" s="1"/>
  <c r="Y111" i="28" s="1"/>
  <c r="W74" i="28"/>
  <c r="W75" i="28" s="1"/>
  <c r="U78" i="87"/>
  <c r="AH35" i="110" s="1"/>
  <c r="V62" i="87"/>
  <c r="AI21" i="110" s="1"/>
  <c r="T62" i="87"/>
  <c r="AG21" i="110" s="1"/>
  <c r="T79" i="87"/>
  <c r="W86" i="87"/>
  <c r="AJ43" i="110" s="1"/>
  <c r="AX21" i="87"/>
  <c r="X84" i="87"/>
  <c r="AK41" i="110" s="1"/>
  <c r="H34" i="106"/>
  <c r="H41" i="110" s="1"/>
  <c r="U92" i="28"/>
  <c r="T49" i="110" s="1"/>
  <c r="X86" i="28"/>
  <c r="W43" i="110" s="1"/>
  <c r="G22" i="106"/>
  <c r="G29" i="110" s="1"/>
  <c r="Y85" i="28"/>
  <c r="X42" i="110" s="1"/>
  <c r="W72" i="93"/>
  <c r="BZ29" i="110" s="1"/>
  <c r="X72" i="28"/>
  <c r="W29" i="110" s="1"/>
  <c r="S78" i="28"/>
  <c r="R35" i="110" s="1"/>
  <c r="Y71" i="28"/>
  <c r="X28" i="110" s="1"/>
  <c r="AX43" i="28"/>
  <c r="H21" i="106"/>
  <c r="H28" i="110" s="1"/>
  <c r="H7" i="106"/>
  <c r="H14" i="110" s="1"/>
  <c r="U58" i="87"/>
  <c r="X70" i="87"/>
  <c r="AK27" i="110" s="1"/>
  <c r="X70" i="91"/>
  <c r="BM27" i="110" s="1"/>
  <c r="Y70" i="28"/>
  <c r="X27" i="110" s="1"/>
  <c r="Y70" i="89"/>
  <c r="AZ27" i="110" s="1"/>
  <c r="X71" i="93"/>
  <c r="CA28" i="110" s="1"/>
  <c r="X72" i="89"/>
  <c r="AY29" i="110" s="1"/>
  <c r="G38" i="106"/>
  <c r="G45" i="110" s="1"/>
  <c r="X70" i="93"/>
  <c r="CA27" i="110" s="1"/>
  <c r="T92" i="28"/>
  <c r="S49" i="110" s="1"/>
  <c r="E39" i="106"/>
  <c r="E46" i="110" s="1"/>
  <c r="X71" i="91"/>
  <c r="BM28" i="110" s="1"/>
  <c r="E25" i="106"/>
  <c r="E32" i="110" s="1"/>
  <c r="T78" i="28"/>
  <c r="S35" i="110" s="1"/>
  <c r="W72" i="87"/>
  <c r="AJ29" i="110" s="1"/>
  <c r="X71" i="87"/>
  <c r="AK28" i="110" s="1"/>
  <c r="Y84" i="28"/>
  <c r="X41" i="110" s="1"/>
  <c r="Y71" i="89"/>
  <c r="AZ28" i="110" s="1"/>
  <c r="W72" i="91"/>
  <c r="BL29" i="110" s="1"/>
  <c r="H20" i="106"/>
  <c r="H27" i="110" s="1"/>
  <c r="D10" i="106"/>
  <c r="D17" i="110" s="1"/>
  <c r="D39" i="106"/>
  <c r="D46" i="110" s="1"/>
  <c r="I46" i="28"/>
  <c r="BC43" i="28"/>
  <c r="BD43" i="28" s="1"/>
  <c r="W56" i="91"/>
  <c r="BL15" i="110" s="1"/>
  <c r="V58" i="91"/>
  <c r="X55" i="89"/>
  <c r="AY14" i="110" s="1"/>
  <c r="W56" i="87"/>
  <c r="AJ15" i="110" s="1"/>
  <c r="AZ46" i="28"/>
  <c r="AZ43" i="89"/>
  <c r="BA43" i="89" s="1"/>
  <c r="BC44" i="87"/>
  <c r="BD44" i="87" s="1"/>
  <c r="BC44" i="93"/>
  <c r="BD44" i="93" s="1"/>
  <c r="AZ44" i="87"/>
  <c r="I46" i="87"/>
  <c r="AZ44" i="93"/>
  <c r="I46" i="93"/>
  <c r="I46" i="89"/>
  <c r="BC43" i="87"/>
  <c r="BD43" i="87" s="1"/>
  <c r="AZ44" i="89"/>
  <c r="BA44" i="89" s="1"/>
  <c r="BC44" i="28"/>
  <c r="BD44" i="28" s="1"/>
  <c r="AZ44" i="91"/>
  <c r="BC44" i="89"/>
  <c r="BD44" i="89" s="1"/>
  <c r="AX43" i="93"/>
  <c r="AW46" i="93"/>
  <c r="AX43" i="87"/>
  <c r="AW46" i="87"/>
  <c r="AW46" i="91"/>
  <c r="AX43" i="91"/>
  <c r="AW46" i="89"/>
  <c r="AX46" i="89" s="1"/>
  <c r="AX43" i="89"/>
  <c r="BD44" i="91"/>
  <c r="AU30" i="93"/>
  <c r="Y25" i="93"/>
  <c r="BA25" i="93" s="1"/>
  <c r="Y33" i="93"/>
  <c r="BA33" i="93" s="1"/>
  <c r="Y29" i="93"/>
  <c r="BA29" i="93" s="1"/>
  <c r="Y22" i="93"/>
  <c r="BA22" i="93" s="1"/>
  <c r="Y41" i="93"/>
  <c r="BA41" i="93" s="1"/>
  <c r="Y23" i="93"/>
  <c r="BA23" i="93" s="1"/>
  <c r="Y39" i="93"/>
  <c r="BA39" i="93" s="1"/>
  <c r="Y27" i="93"/>
  <c r="BA27" i="93" s="1"/>
  <c r="AZ19" i="93"/>
  <c r="AZ32" i="93" s="1"/>
  <c r="Y28" i="93"/>
  <c r="BA28" i="93" s="1"/>
  <c r="Y42" i="93"/>
  <c r="BA42" i="93" s="1"/>
  <c r="Y26" i="93"/>
  <c r="BA26" i="93" s="1"/>
  <c r="Y38" i="93"/>
  <c r="BA38" i="93" s="1"/>
  <c r="Y34" i="93"/>
  <c r="BA34" i="93" s="1"/>
  <c r="Y20" i="93"/>
  <c r="BA20" i="93" s="1"/>
  <c r="Y24" i="93"/>
  <c r="BA24" i="93" s="1"/>
  <c r="Y37" i="93"/>
  <c r="BA37" i="93" s="1"/>
  <c r="Y40" i="93"/>
  <c r="BA40" i="93" s="1"/>
  <c r="Y35" i="93"/>
  <c r="BA35" i="93" s="1"/>
  <c r="Y36" i="93"/>
  <c r="BA36" i="93" s="1"/>
  <c r="Y21" i="93"/>
  <c r="BA21" i="93" s="1"/>
  <c r="AX33" i="93"/>
  <c r="X46" i="93"/>
  <c r="X55" i="93" s="1"/>
  <c r="CA14" i="110" s="1"/>
  <c r="X30" i="93"/>
  <c r="X54" i="93" s="1"/>
  <c r="CA13" i="110" s="1"/>
  <c r="J32" i="93"/>
  <c r="Z19" i="93"/>
  <c r="BC19" i="93" s="1"/>
  <c r="Z32" i="93"/>
  <c r="J51" i="93"/>
  <c r="AU46" i="93"/>
  <c r="AX30" i="89"/>
  <c r="Y46" i="89"/>
  <c r="Y55" i="89" s="1"/>
  <c r="AZ14" i="110" s="1"/>
  <c r="BC32" i="89"/>
  <c r="Z35" i="89"/>
  <c r="Z29" i="89"/>
  <c r="Z39" i="89"/>
  <c r="Z37" i="89"/>
  <c r="Z25" i="89"/>
  <c r="Z21" i="89"/>
  <c r="Z41" i="89"/>
  <c r="Z34" i="89"/>
  <c r="Z38" i="89"/>
  <c r="Z36" i="89"/>
  <c r="Z33" i="89"/>
  <c r="Z42" i="89"/>
  <c r="Z22" i="89"/>
  <c r="BD22" i="89" s="1"/>
  <c r="Z26" i="89"/>
  <c r="Z40" i="89"/>
  <c r="Z27" i="89"/>
  <c r="Z23" i="89"/>
  <c r="Z20" i="89"/>
  <c r="Z28" i="89"/>
  <c r="Z24" i="89"/>
  <c r="Y30" i="89"/>
  <c r="Y54" i="89" s="1"/>
  <c r="AZ13" i="110" s="1"/>
  <c r="X30" i="87"/>
  <c r="AX27" i="87"/>
  <c r="AX38" i="87"/>
  <c r="AZ19" i="87"/>
  <c r="AZ32" i="87" s="1"/>
  <c r="Y23" i="87"/>
  <c r="BA23" i="87" s="1"/>
  <c r="Y27" i="87"/>
  <c r="BA27" i="87" s="1"/>
  <c r="Y34" i="87"/>
  <c r="Y35" i="87"/>
  <c r="BA35" i="87" s="1"/>
  <c r="Y22" i="87"/>
  <c r="BA22" i="87" s="1"/>
  <c r="Y41" i="87"/>
  <c r="Y38" i="87"/>
  <c r="BA38" i="87" s="1"/>
  <c r="Y36" i="87"/>
  <c r="BA36" i="87" s="1"/>
  <c r="Y33" i="87"/>
  <c r="BA33" i="87" s="1"/>
  <c r="Y29" i="87"/>
  <c r="BA29" i="87" s="1"/>
  <c r="Y39" i="87"/>
  <c r="BA39" i="87" s="1"/>
  <c r="Y42" i="87"/>
  <c r="BA42" i="87" s="1"/>
  <c r="Y28" i="87"/>
  <c r="BA28" i="87" s="1"/>
  <c r="Y20" i="87"/>
  <c r="BA20" i="87" s="1"/>
  <c r="Y24" i="87"/>
  <c r="BA24" i="87" s="1"/>
  <c r="Y26" i="87"/>
  <c r="BA26" i="87" s="1"/>
  <c r="Y37" i="87"/>
  <c r="BA37" i="87" s="1"/>
  <c r="Y40" i="87"/>
  <c r="BA40" i="87" s="1"/>
  <c r="Y25" i="87"/>
  <c r="BA25" i="87" s="1"/>
  <c r="Y21" i="87"/>
  <c r="AU30" i="91"/>
  <c r="AU46" i="87"/>
  <c r="Y46" i="28"/>
  <c r="Y55" i="28" s="1"/>
  <c r="X14" i="110" s="1"/>
  <c r="BA42" i="28"/>
  <c r="BA41" i="28"/>
  <c r="Z32" i="91"/>
  <c r="J51" i="91"/>
  <c r="J32" i="91"/>
  <c r="Z19" i="91"/>
  <c r="BC19" i="91" s="1"/>
  <c r="AX37" i="91"/>
  <c r="BA35" i="28"/>
  <c r="AX33" i="87"/>
  <c r="X46" i="87"/>
  <c r="X55" i="87" s="1"/>
  <c r="AK14" i="110" s="1"/>
  <c r="AX28" i="91"/>
  <c r="Z19" i="87"/>
  <c r="BC19" i="87" s="1"/>
  <c r="Z32" i="87"/>
  <c r="J51" i="87"/>
  <c r="J32" i="87"/>
  <c r="Y30" i="28"/>
  <c r="Y54" i="28" s="1"/>
  <c r="X13" i="110" s="1"/>
  <c r="BA38" i="28"/>
  <c r="AX29" i="87"/>
  <c r="BA36" i="28"/>
  <c r="AZ19" i="91"/>
  <c r="AZ32" i="91" s="1"/>
  <c r="Y34" i="91"/>
  <c r="Y25" i="91"/>
  <c r="BA25" i="91" s="1"/>
  <c r="Y37" i="91"/>
  <c r="BA37" i="91" s="1"/>
  <c r="Y38" i="91"/>
  <c r="BA38" i="91" s="1"/>
  <c r="Y36" i="91"/>
  <c r="BA36" i="91" s="1"/>
  <c r="Y23" i="91"/>
  <c r="BA23" i="91" s="1"/>
  <c r="Y35" i="91"/>
  <c r="BA35" i="91" s="1"/>
  <c r="Y41" i="91"/>
  <c r="BA41" i="91" s="1"/>
  <c r="Y33" i="91"/>
  <c r="BA33" i="91" s="1"/>
  <c r="Y42" i="91"/>
  <c r="BA42" i="91" s="1"/>
  <c r="Y22" i="91"/>
  <c r="BA22" i="91" s="1"/>
  <c r="Y29" i="91"/>
  <c r="BA29" i="91" s="1"/>
  <c r="Y26" i="91"/>
  <c r="BA26" i="91" s="1"/>
  <c r="Y40" i="91"/>
  <c r="BA40" i="91" s="1"/>
  <c r="Y39" i="91"/>
  <c r="BA39" i="91" s="1"/>
  <c r="Y27" i="91"/>
  <c r="BA27" i="91" s="1"/>
  <c r="Y24" i="91"/>
  <c r="BA24" i="91" s="1"/>
  <c r="Y28" i="91"/>
  <c r="BA28" i="91" s="1"/>
  <c r="Y20" i="91"/>
  <c r="BA20" i="91" s="1"/>
  <c r="Y21" i="91"/>
  <c r="BA21" i="91" s="1"/>
  <c r="AU30" i="87"/>
  <c r="AX39" i="87"/>
  <c r="AX25" i="91"/>
  <c r="AX25" i="87"/>
  <c r="X30" i="91"/>
  <c r="AX36" i="91"/>
  <c r="Z28" i="28"/>
  <c r="Z41" i="28"/>
  <c r="Z36" i="28"/>
  <c r="Z20" i="28"/>
  <c r="Z37" i="28"/>
  <c r="Z39" i="28"/>
  <c r="Z26" i="28"/>
  <c r="Z35" i="28"/>
  <c r="Z22" i="28"/>
  <c r="Z24" i="28"/>
  <c r="Z42" i="28"/>
  <c r="BC32" i="28"/>
  <c r="Z40" i="28"/>
  <c r="Z38" i="28"/>
  <c r="Z33" i="28"/>
  <c r="Z99" i="28" s="1"/>
  <c r="Y56" i="110" s="1"/>
  <c r="Z25" i="28"/>
  <c r="Z21" i="28"/>
  <c r="Z112" i="28" s="1"/>
  <c r="Y69" i="110" s="1"/>
  <c r="Z29" i="28"/>
  <c r="Z34" i="28"/>
  <c r="Z27" i="28"/>
  <c r="Z23" i="28"/>
  <c r="AU46" i="91"/>
  <c r="AX35" i="91"/>
  <c r="AX24" i="91"/>
  <c r="AX33" i="91"/>
  <c r="X46" i="91"/>
  <c r="X55" i="91" s="1"/>
  <c r="BM14" i="110" s="1"/>
  <c r="BA34" i="28"/>
  <c r="AX21" i="91"/>
  <c r="AX46" i="28"/>
  <c r="AX30" i="28"/>
  <c r="V31" i="110" l="1"/>
  <c r="V32" i="110"/>
  <c r="V45" i="110"/>
  <c r="V46" i="110"/>
  <c r="V17" i="110"/>
  <c r="W59" i="28"/>
  <c r="V18" i="110" s="1"/>
  <c r="AM59" i="110"/>
  <c r="AP59" i="110" s="1"/>
  <c r="AM60" i="110"/>
  <c r="AX31" i="110"/>
  <c r="AX17" i="110"/>
  <c r="W59" i="89"/>
  <c r="AX18" i="110" s="1"/>
  <c r="BN59" i="110"/>
  <c r="BN60" i="110"/>
  <c r="BP59" i="110"/>
  <c r="BP60" i="110"/>
  <c r="BB59" i="110"/>
  <c r="BB60" i="110"/>
  <c r="AZ59" i="110"/>
  <c r="AZ60" i="110"/>
  <c r="AI31" i="110"/>
  <c r="AI32" i="110"/>
  <c r="AW17" i="110"/>
  <c r="V59" i="89"/>
  <c r="AW18" i="110" s="1"/>
  <c r="AN59" i="110"/>
  <c r="AN60" i="110"/>
  <c r="BK17" i="110"/>
  <c r="V59" i="91"/>
  <c r="BK18" i="110" s="1"/>
  <c r="AH17" i="110"/>
  <c r="U59" i="87"/>
  <c r="AH18" i="110" s="1"/>
  <c r="BK31" i="110"/>
  <c r="BK32" i="110"/>
  <c r="BJ17" i="110"/>
  <c r="U59" i="91"/>
  <c r="BJ18" i="110" s="1"/>
  <c r="AV17" i="110"/>
  <c r="U59" i="89"/>
  <c r="AV18" i="110" s="1"/>
  <c r="F78" i="110"/>
  <c r="AB2" i="107"/>
  <c r="V58" i="87"/>
  <c r="R77" i="110"/>
  <c r="R78" i="110" s="1"/>
  <c r="D70" i="106"/>
  <c r="D77" i="110" s="1"/>
  <c r="D78" i="110" s="1"/>
  <c r="AA99" i="28"/>
  <c r="Z56" i="110" s="1"/>
  <c r="BF46" i="28"/>
  <c r="U79" i="28"/>
  <c r="D57" i="106"/>
  <c r="W56" i="93"/>
  <c r="BZ15" i="110" s="1"/>
  <c r="AC99" i="89"/>
  <c r="R99" i="89" s="1"/>
  <c r="Z98" i="28"/>
  <c r="Y55" i="110" s="1"/>
  <c r="AB55" i="110" s="1"/>
  <c r="AC99" i="91"/>
  <c r="R99" i="91" s="1"/>
  <c r="AA113" i="28"/>
  <c r="AA85" i="28"/>
  <c r="U78" i="93"/>
  <c r="BX35" i="110" s="1"/>
  <c r="BX36" i="110" s="1"/>
  <c r="AA112" i="28"/>
  <c r="Z69" i="110" s="1"/>
  <c r="AA98" i="28"/>
  <c r="V106" i="28"/>
  <c r="U63" i="110" s="1"/>
  <c r="U64" i="110" s="1"/>
  <c r="S62" i="28"/>
  <c r="R21" i="110" s="1"/>
  <c r="R22" i="110" s="1"/>
  <c r="BZ64" i="110"/>
  <c r="BY31" i="110"/>
  <c r="AC99" i="93"/>
  <c r="R99" i="93" s="1"/>
  <c r="X106" i="93"/>
  <c r="X107" i="93" s="1"/>
  <c r="T62" i="93"/>
  <c r="BW21" i="110" s="1"/>
  <c r="BW22" i="110" s="1"/>
  <c r="BW35" i="110"/>
  <c r="BW36" i="110" s="1"/>
  <c r="BX17" i="110"/>
  <c r="CB59" i="110"/>
  <c r="CD59" i="110"/>
  <c r="S62" i="93"/>
  <c r="F71" i="106"/>
  <c r="D42" i="106"/>
  <c r="D49" i="110" s="1"/>
  <c r="D50" i="110" s="1"/>
  <c r="E71" i="106"/>
  <c r="V59" i="110"/>
  <c r="D64" i="110"/>
  <c r="V78" i="28"/>
  <c r="U35" i="110" s="1"/>
  <c r="U36" i="110" s="1"/>
  <c r="V73" i="110"/>
  <c r="E57" i="106"/>
  <c r="V92" i="28"/>
  <c r="U49" i="110" s="1"/>
  <c r="U50" i="110" s="1"/>
  <c r="V120" i="28"/>
  <c r="V121" i="28" s="1"/>
  <c r="T63" i="110"/>
  <c r="T64" i="110" s="1"/>
  <c r="F56" i="106"/>
  <c r="F63" i="110" s="1"/>
  <c r="T63" i="91"/>
  <c r="BI18" i="110"/>
  <c r="BI22" i="110" s="1"/>
  <c r="AF45" i="28"/>
  <c r="M44" i="89"/>
  <c r="AE44" i="89" s="1"/>
  <c r="AF44" i="89" s="1"/>
  <c r="CD60" i="110"/>
  <c r="L46" i="87"/>
  <c r="BI43" i="87"/>
  <c r="AI50" i="110"/>
  <c r="AB100" i="89"/>
  <c r="BC57" i="110" s="1"/>
  <c r="AB100" i="91"/>
  <c r="L46" i="28"/>
  <c r="BI43" i="28"/>
  <c r="AB100" i="87"/>
  <c r="AO57" i="110" s="1"/>
  <c r="AC99" i="87"/>
  <c r="R99" i="87" s="1"/>
  <c r="AB100" i="93"/>
  <c r="CE57" i="110" s="1"/>
  <c r="L46" i="89"/>
  <c r="BI43" i="89"/>
  <c r="L46" i="91"/>
  <c r="BI43" i="91"/>
  <c r="L46" i="93"/>
  <c r="BI43" i="93"/>
  <c r="H6" i="106"/>
  <c r="H13" i="110" s="1"/>
  <c r="Z69" i="93"/>
  <c r="Z83" i="93" s="1"/>
  <c r="Z97" i="93" s="1"/>
  <c r="Z111" i="93" s="1"/>
  <c r="AA53" i="93"/>
  <c r="AA71" i="89"/>
  <c r="BB28" i="110" s="1"/>
  <c r="AA46" i="89"/>
  <c r="AA55" i="89" s="1"/>
  <c r="BB14" i="110" s="1"/>
  <c r="BF19" i="91"/>
  <c r="BF32" i="91" s="1"/>
  <c r="AA41" i="91"/>
  <c r="AA37" i="91"/>
  <c r="AA33" i="91"/>
  <c r="AA27" i="91"/>
  <c r="BG27" i="91" s="1"/>
  <c r="AA23" i="91"/>
  <c r="BG23" i="91" s="1"/>
  <c r="AA38" i="91"/>
  <c r="AA28" i="91"/>
  <c r="BG28" i="91" s="1"/>
  <c r="AA20" i="91"/>
  <c r="AA40" i="91"/>
  <c r="AA36" i="91"/>
  <c r="AA26" i="91"/>
  <c r="BG26" i="91" s="1"/>
  <c r="AA22" i="91"/>
  <c r="BG22" i="91" s="1"/>
  <c r="AA39" i="91"/>
  <c r="AA35" i="91"/>
  <c r="AA29" i="91"/>
  <c r="BG29" i="91" s="1"/>
  <c r="AA25" i="91"/>
  <c r="BG25" i="91" s="1"/>
  <c r="AA21" i="91"/>
  <c r="AA24" i="91"/>
  <c r="BG24" i="91" s="1"/>
  <c r="AA42" i="91"/>
  <c r="AA34" i="91"/>
  <c r="V93" i="87"/>
  <c r="AA41" i="87"/>
  <c r="AA37" i="87"/>
  <c r="AA33" i="87"/>
  <c r="AA27" i="87"/>
  <c r="BG27" i="87" s="1"/>
  <c r="AA23" i="87"/>
  <c r="BG23" i="87" s="1"/>
  <c r="AA24" i="87"/>
  <c r="BG24" i="87" s="1"/>
  <c r="AA20" i="87"/>
  <c r="AA40" i="87"/>
  <c r="AA36" i="87"/>
  <c r="AA26" i="87"/>
  <c r="BG26" i="87" s="1"/>
  <c r="AA22" i="87"/>
  <c r="BG22" i="87" s="1"/>
  <c r="AA39" i="87"/>
  <c r="AA35" i="87"/>
  <c r="AA29" i="87"/>
  <c r="BG29" i="87" s="1"/>
  <c r="AA25" i="87"/>
  <c r="BG25" i="87" s="1"/>
  <c r="AA21" i="87"/>
  <c r="BG21" i="87" s="1"/>
  <c r="AA38" i="87"/>
  <c r="AA28" i="87"/>
  <c r="BG28" i="87" s="1"/>
  <c r="AA42" i="87"/>
  <c r="AA34" i="87"/>
  <c r="BF19" i="87"/>
  <c r="BF32" i="87" s="1"/>
  <c r="X86" i="87"/>
  <c r="AK43" i="110" s="1"/>
  <c r="AB32" i="93"/>
  <c r="AB19" i="93"/>
  <c r="AB42" i="89"/>
  <c r="AC42" i="89" s="1"/>
  <c r="AB38" i="89"/>
  <c r="AB34" i="89"/>
  <c r="AC34" i="89" s="1"/>
  <c r="R34" i="89" s="1"/>
  <c r="AB28" i="89"/>
  <c r="BJ28" i="89" s="1"/>
  <c r="AB24" i="89"/>
  <c r="BJ24" i="89" s="1"/>
  <c r="AB20" i="89"/>
  <c r="AC20" i="89" s="1"/>
  <c r="AB21" i="89"/>
  <c r="BJ21" i="89" s="1"/>
  <c r="BI19" i="89"/>
  <c r="BI32" i="89" s="1"/>
  <c r="AB29" i="89"/>
  <c r="BJ29" i="89" s="1"/>
  <c r="AB41" i="89"/>
  <c r="AB37" i="89"/>
  <c r="AC37" i="89" s="1"/>
  <c r="AB33" i="89"/>
  <c r="AC33" i="89" s="1"/>
  <c r="AB27" i="89"/>
  <c r="BJ27" i="89" s="1"/>
  <c r="AB23" i="89"/>
  <c r="BJ23" i="89" s="1"/>
  <c r="AB39" i="89"/>
  <c r="AC39" i="89" s="1"/>
  <c r="AB35" i="89"/>
  <c r="AC35" i="89" s="1"/>
  <c r="R35" i="89" s="1"/>
  <c r="AB25" i="89"/>
  <c r="BJ25" i="89" s="1"/>
  <c r="AB40" i="89"/>
  <c r="AB36" i="89"/>
  <c r="AC36" i="89" s="1"/>
  <c r="AB26" i="89"/>
  <c r="BJ26" i="89" s="1"/>
  <c r="AB22" i="89"/>
  <c r="BJ22" i="89" s="1"/>
  <c r="AA30" i="28"/>
  <c r="AA54" i="28" s="1"/>
  <c r="Z13" i="110" s="1"/>
  <c r="AA70" i="28"/>
  <c r="Z27" i="110" s="1"/>
  <c r="BG20" i="28"/>
  <c r="AA46" i="28"/>
  <c r="AA55" i="28" s="1"/>
  <c r="Z14" i="110" s="1"/>
  <c r="AA71" i="28"/>
  <c r="Z28" i="110" s="1"/>
  <c r="AA39" i="93"/>
  <c r="AA35" i="93"/>
  <c r="AA29" i="93"/>
  <c r="BG29" i="93" s="1"/>
  <c r="AA25" i="93"/>
  <c r="BG25" i="93" s="1"/>
  <c r="AA21" i="93"/>
  <c r="BG21" i="93" s="1"/>
  <c r="AA22" i="93"/>
  <c r="BG22" i="93" s="1"/>
  <c r="BF19" i="93"/>
  <c r="BF32" i="93" s="1"/>
  <c r="AA40" i="93"/>
  <c r="AA42" i="93"/>
  <c r="AA38" i="93"/>
  <c r="AA34" i="93"/>
  <c r="AA28" i="93"/>
  <c r="BG28" i="93" s="1"/>
  <c r="AA24" i="93"/>
  <c r="BG24" i="93" s="1"/>
  <c r="AA20" i="93"/>
  <c r="AA41" i="93"/>
  <c r="AA37" i="93"/>
  <c r="AA33" i="93"/>
  <c r="AA27" i="93"/>
  <c r="BG27" i="93" s="1"/>
  <c r="AA23" i="93"/>
  <c r="BG23" i="93" s="1"/>
  <c r="AA36" i="93"/>
  <c r="AA26" i="93"/>
  <c r="BG26" i="93" s="1"/>
  <c r="Z69" i="91"/>
  <c r="Z83" i="91" s="1"/>
  <c r="Z97" i="91" s="1"/>
  <c r="Z111" i="91" s="1"/>
  <c r="AA53" i="91"/>
  <c r="AA30" i="89"/>
  <c r="AA54" i="89" s="1"/>
  <c r="BB13" i="110" s="1"/>
  <c r="BG20" i="89"/>
  <c r="AB19" i="87"/>
  <c r="AB32" i="87"/>
  <c r="AB19" i="91"/>
  <c r="AB32" i="91"/>
  <c r="AA84" i="28"/>
  <c r="Z41" i="110" s="1"/>
  <c r="BG21" i="28"/>
  <c r="Z69" i="28"/>
  <c r="Z83" i="28" s="1"/>
  <c r="Z97" i="28" s="1"/>
  <c r="Z111" i="28" s="1"/>
  <c r="AA53" i="28"/>
  <c r="Z69" i="89"/>
  <c r="Z83" i="89" s="1"/>
  <c r="Z97" i="89" s="1"/>
  <c r="Z111" i="89" s="1"/>
  <c r="AA53" i="89"/>
  <c r="AB40" i="28"/>
  <c r="AB36" i="28"/>
  <c r="AC36" i="28" s="1"/>
  <c r="AB26" i="28"/>
  <c r="BJ26" i="28" s="1"/>
  <c r="AB22" i="28"/>
  <c r="BJ22" i="28" s="1"/>
  <c r="AB41" i="28"/>
  <c r="AC41" i="28" s="1"/>
  <c r="AB27" i="28"/>
  <c r="BJ27" i="28" s="1"/>
  <c r="AB39" i="28"/>
  <c r="AC39" i="28" s="1"/>
  <c r="AB35" i="28"/>
  <c r="AB29" i="28"/>
  <c r="BJ29" i="28" s="1"/>
  <c r="AB25" i="28"/>
  <c r="BJ25" i="28" s="1"/>
  <c r="AB21" i="28"/>
  <c r="AB37" i="28"/>
  <c r="AC37" i="28" s="1"/>
  <c r="AB23" i="28"/>
  <c r="AC23" i="28" s="1"/>
  <c r="R23" i="28" s="1"/>
  <c r="BI19" i="28"/>
  <c r="BI32" i="28" s="1"/>
  <c r="AB42" i="28"/>
  <c r="AC42" i="28" s="1"/>
  <c r="AB38" i="28"/>
  <c r="AC38" i="28" s="1"/>
  <c r="AB34" i="28"/>
  <c r="AB28" i="28"/>
  <c r="BJ28" i="28" s="1"/>
  <c r="AB24" i="28"/>
  <c r="BJ24" i="28" s="1"/>
  <c r="AB20" i="28"/>
  <c r="AC20" i="28" s="1"/>
  <c r="AB33" i="28"/>
  <c r="AA70" i="89"/>
  <c r="BB27" i="110" s="1"/>
  <c r="BG23" i="89"/>
  <c r="T22" i="110"/>
  <c r="S50" i="110"/>
  <c r="G8" i="106"/>
  <c r="G15" i="110" s="1"/>
  <c r="AB56" i="110"/>
  <c r="S36" i="110"/>
  <c r="AX32" i="110"/>
  <c r="AG22" i="110"/>
  <c r="V79" i="89"/>
  <c r="AW36" i="110"/>
  <c r="U63" i="28"/>
  <c r="CF57" i="110"/>
  <c r="Y107" i="87"/>
  <c r="S63" i="89"/>
  <c r="F25" i="106"/>
  <c r="F32" i="110" s="1"/>
  <c r="BH22" i="110"/>
  <c r="AL64" i="110"/>
  <c r="W74" i="93"/>
  <c r="W75" i="93" s="1"/>
  <c r="U79" i="87"/>
  <c r="AH36" i="110"/>
  <c r="BR57" i="110"/>
  <c r="U79" i="91"/>
  <c r="X74" i="89"/>
  <c r="X75" i="89" s="1"/>
  <c r="S63" i="91"/>
  <c r="V58" i="93"/>
  <c r="V59" i="93" s="1"/>
  <c r="AT22" i="110"/>
  <c r="CB60" i="110"/>
  <c r="BX18" i="110"/>
  <c r="AY64" i="110"/>
  <c r="W58" i="91"/>
  <c r="W74" i="91"/>
  <c r="W75" i="91" s="1"/>
  <c r="U79" i="89"/>
  <c r="T63" i="89"/>
  <c r="AU22" i="110"/>
  <c r="BD57" i="110"/>
  <c r="X107" i="91"/>
  <c r="BM64" i="110"/>
  <c r="AB69" i="110"/>
  <c r="V74" i="110"/>
  <c r="T50" i="110"/>
  <c r="R36" i="110"/>
  <c r="BD27" i="89"/>
  <c r="X56" i="28"/>
  <c r="W15" i="110" s="1"/>
  <c r="BD41" i="28"/>
  <c r="K62" i="106"/>
  <c r="K69" i="110" s="1"/>
  <c r="BD28" i="28"/>
  <c r="BD41" i="89"/>
  <c r="BD25" i="28"/>
  <c r="BD35" i="28"/>
  <c r="X54" i="87"/>
  <c r="AK13" i="110" s="1"/>
  <c r="BD26" i="89"/>
  <c r="BD21" i="89"/>
  <c r="F10" i="106"/>
  <c r="F17" i="110" s="1"/>
  <c r="J63" i="106"/>
  <c r="J70" i="110" s="1"/>
  <c r="K49" i="106"/>
  <c r="K56" i="110" s="1"/>
  <c r="BD23" i="89"/>
  <c r="T62" i="28"/>
  <c r="S21" i="110" s="1"/>
  <c r="BD25" i="89"/>
  <c r="BD38" i="28"/>
  <c r="BD24" i="89"/>
  <c r="BD37" i="89"/>
  <c r="T79" i="28"/>
  <c r="S2" i="107" s="1"/>
  <c r="J62" i="106"/>
  <c r="J69" i="110" s="1"/>
  <c r="H66" i="106"/>
  <c r="H73" i="110" s="1"/>
  <c r="BD36" i="28"/>
  <c r="BD26" i="28"/>
  <c r="X54" i="91"/>
  <c r="BM13" i="110" s="1"/>
  <c r="BD37" i="28"/>
  <c r="BD28" i="89"/>
  <c r="BD42" i="28"/>
  <c r="BD20" i="89"/>
  <c r="V62" i="28"/>
  <c r="U21" i="110" s="1"/>
  <c r="Y100" i="28"/>
  <c r="X57" i="110" s="1"/>
  <c r="J48" i="106"/>
  <c r="J55" i="110" s="1"/>
  <c r="G53" i="106"/>
  <c r="G60" i="110" s="1"/>
  <c r="G67" i="106"/>
  <c r="G74" i="110" s="1"/>
  <c r="V60" i="110"/>
  <c r="H52" i="106"/>
  <c r="H59" i="110" s="1"/>
  <c r="X102" i="28"/>
  <c r="X103" i="28" s="1"/>
  <c r="I50" i="106"/>
  <c r="I57" i="110" s="1"/>
  <c r="X116" i="28"/>
  <c r="X117" i="28" s="1"/>
  <c r="I64" i="106"/>
  <c r="I71" i="110" s="1"/>
  <c r="AC112" i="28"/>
  <c r="R112" i="28" s="1"/>
  <c r="BD23" i="28"/>
  <c r="Z113" i="28"/>
  <c r="Y70" i="110" s="1"/>
  <c r="Y114" i="28"/>
  <c r="X71" i="110" s="1"/>
  <c r="BD21" i="28"/>
  <c r="BD20" i="28"/>
  <c r="G24" i="106"/>
  <c r="G31" i="110" s="1"/>
  <c r="BY32" i="110"/>
  <c r="J35" i="106"/>
  <c r="J42" i="110" s="1"/>
  <c r="Z102" i="93"/>
  <c r="Z103" i="93" s="1"/>
  <c r="W74" i="87"/>
  <c r="W75" i="87" s="1"/>
  <c r="W88" i="87"/>
  <c r="W89" i="87" s="1"/>
  <c r="Z102" i="91"/>
  <c r="Z103" i="91" s="1"/>
  <c r="Z102" i="89"/>
  <c r="Z103" i="89" s="1"/>
  <c r="X107" i="89"/>
  <c r="D11" i="106"/>
  <c r="D18" i="110" s="1"/>
  <c r="K46" i="89"/>
  <c r="L32" i="91"/>
  <c r="L51" i="91"/>
  <c r="M44" i="87"/>
  <c r="AE44" i="87" s="1"/>
  <c r="AF44" i="87" s="1"/>
  <c r="K46" i="87"/>
  <c r="M43" i="87"/>
  <c r="K46" i="91"/>
  <c r="M44" i="91"/>
  <c r="AE44" i="91" s="1"/>
  <c r="AF44" i="91" s="1"/>
  <c r="K46" i="93"/>
  <c r="M44" i="93"/>
  <c r="AE44" i="93" s="1"/>
  <c r="AF44" i="93" s="1"/>
  <c r="K46" i="28"/>
  <c r="M44" i="28"/>
  <c r="AE44" i="28" s="1"/>
  <c r="AF44" i="28" s="1"/>
  <c r="M43" i="28"/>
  <c r="AE43" i="28" s="1"/>
  <c r="L51" i="87"/>
  <c r="L32" i="87"/>
  <c r="L51" i="93"/>
  <c r="L32" i="93"/>
  <c r="Z53" i="87"/>
  <c r="Y69" i="87"/>
  <c r="Y83" i="87" s="1"/>
  <c r="Y97" i="87" s="1"/>
  <c r="Y111" i="87" s="1"/>
  <c r="G39" i="106"/>
  <c r="G46" i="110" s="1"/>
  <c r="U92" i="87"/>
  <c r="AH49" i="110" s="1"/>
  <c r="T63" i="87"/>
  <c r="BD27" i="28"/>
  <c r="BD24" i="28"/>
  <c r="BD22" i="28"/>
  <c r="Y84" i="87"/>
  <c r="AL41" i="110" s="1"/>
  <c r="BA21" i="87"/>
  <c r="H36" i="106"/>
  <c r="H43" i="110" s="1"/>
  <c r="F39" i="106"/>
  <c r="F46" i="110" s="1"/>
  <c r="X88" i="28"/>
  <c r="X89" i="28" s="1"/>
  <c r="S62" i="87"/>
  <c r="AF21" i="110" s="1"/>
  <c r="V78" i="87"/>
  <c r="AI35" i="110" s="1"/>
  <c r="I34" i="106"/>
  <c r="I41" i="110" s="1"/>
  <c r="X74" i="28"/>
  <c r="X75" i="28" s="1"/>
  <c r="D28" i="106"/>
  <c r="D35" i="110" s="1"/>
  <c r="S79" i="28"/>
  <c r="R2" i="107" s="1"/>
  <c r="U93" i="28"/>
  <c r="Z85" i="28"/>
  <c r="Y42" i="110" s="1"/>
  <c r="Y70" i="87"/>
  <c r="AL27" i="110" s="1"/>
  <c r="Y72" i="28"/>
  <c r="X29" i="110" s="1"/>
  <c r="X72" i="91"/>
  <c r="BM29" i="110" s="1"/>
  <c r="H22" i="106"/>
  <c r="H29" i="110" s="1"/>
  <c r="Y72" i="89"/>
  <c r="AZ29" i="110" s="1"/>
  <c r="Y71" i="91"/>
  <c r="BN28" i="110" s="1"/>
  <c r="X72" i="93"/>
  <c r="CA29" i="110" s="1"/>
  <c r="X72" i="87"/>
  <c r="AK29" i="110" s="1"/>
  <c r="Y70" i="93"/>
  <c r="CB27" i="110" s="1"/>
  <c r="I21" i="106"/>
  <c r="I28" i="110" s="1"/>
  <c r="Z84" i="28"/>
  <c r="Y41" i="110" s="1"/>
  <c r="Y86" i="28"/>
  <c r="X43" i="110" s="1"/>
  <c r="I7" i="106"/>
  <c r="I14" i="110" s="1"/>
  <c r="Z71" i="89"/>
  <c r="BA28" i="110" s="1"/>
  <c r="E28" i="106"/>
  <c r="E35" i="110" s="1"/>
  <c r="E42" i="106"/>
  <c r="E49" i="110" s="1"/>
  <c r="T93" i="28"/>
  <c r="AM2" i="107" s="1"/>
  <c r="I20" i="106"/>
  <c r="I27" i="110" s="1"/>
  <c r="Y71" i="87"/>
  <c r="AL28" i="110" s="1"/>
  <c r="Z70" i="89"/>
  <c r="BA27" i="110" s="1"/>
  <c r="Z70" i="28"/>
  <c r="Y27" i="110" s="1"/>
  <c r="Z71" i="28"/>
  <c r="Y28" i="110" s="1"/>
  <c r="Y70" i="91"/>
  <c r="BN27" i="110" s="1"/>
  <c r="Y71" i="93"/>
  <c r="CB28" i="110" s="1"/>
  <c r="S93" i="28"/>
  <c r="AL2" i="107" s="1"/>
  <c r="E11" i="106"/>
  <c r="E18" i="110" s="1"/>
  <c r="J46" i="28"/>
  <c r="Y56" i="89"/>
  <c r="AZ15" i="110" s="1"/>
  <c r="W58" i="87"/>
  <c r="Y56" i="28"/>
  <c r="X15" i="110" s="1"/>
  <c r="X56" i="93"/>
  <c r="CA15" i="110" s="1"/>
  <c r="X56" i="89"/>
  <c r="AY15" i="110" s="1"/>
  <c r="AZ46" i="89"/>
  <c r="BA46" i="89" s="1"/>
  <c r="BC46" i="28"/>
  <c r="BA44" i="91"/>
  <c r="AZ46" i="91"/>
  <c r="AZ46" i="87"/>
  <c r="BA44" i="87"/>
  <c r="J46" i="87"/>
  <c r="AZ46" i="93"/>
  <c r="BA44" i="93"/>
  <c r="J46" i="89"/>
  <c r="BC43" i="89"/>
  <c r="BC46" i="87"/>
  <c r="J46" i="93"/>
  <c r="BC43" i="93"/>
  <c r="BC43" i="91"/>
  <c r="J46" i="91"/>
  <c r="BD34" i="28"/>
  <c r="Z40" i="93"/>
  <c r="Z21" i="93"/>
  <c r="Z41" i="93"/>
  <c r="Z25" i="93"/>
  <c r="Z34" i="93"/>
  <c r="Z24" i="93"/>
  <c r="Z26" i="93"/>
  <c r="Z36" i="93"/>
  <c r="Z42" i="93"/>
  <c r="Z28" i="93"/>
  <c r="Z35" i="93"/>
  <c r="Z23" i="93"/>
  <c r="Z29" i="93"/>
  <c r="Z39" i="93"/>
  <c r="Z33" i="93"/>
  <c r="BC32" i="93"/>
  <c r="Z37" i="93"/>
  <c r="Z20" i="93"/>
  <c r="Z38" i="93"/>
  <c r="Z27" i="93"/>
  <c r="Z22" i="93"/>
  <c r="Y46" i="93"/>
  <c r="Y55" i="93" s="1"/>
  <c r="CB14" i="110" s="1"/>
  <c r="AX30" i="93"/>
  <c r="AX46" i="93"/>
  <c r="Y30" i="93"/>
  <c r="Y54" i="93" s="1"/>
  <c r="CB13" i="110" s="1"/>
  <c r="BD33" i="89"/>
  <c r="Z46" i="89"/>
  <c r="BD39" i="89"/>
  <c r="Z30" i="89"/>
  <c r="Z54" i="89" s="1"/>
  <c r="BA13" i="110" s="1"/>
  <c r="BD36" i="89"/>
  <c r="BD29" i="89"/>
  <c r="BD38" i="89"/>
  <c r="BD35" i="89"/>
  <c r="BD42" i="89"/>
  <c r="BD34" i="89"/>
  <c r="BD40" i="89"/>
  <c r="AX46" i="91"/>
  <c r="BD33" i="28"/>
  <c r="Z46" i="28"/>
  <c r="Z55" i="28" s="1"/>
  <c r="Y14" i="110" s="1"/>
  <c r="Y30" i="91"/>
  <c r="Y54" i="91" s="1"/>
  <c r="BN13" i="110" s="1"/>
  <c r="BC32" i="87"/>
  <c r="Z33" i="87"/>
  <c r="Z39" i="87"/>
  <c r="Z37" i="87"/>
  <c r="Z25" i="87"/>
  <c r="Z29" i="87"/>
  <c r="Z26" i="87"/>
  <c r="Z35" i="87"/>
  <c r="Z42" i="87"/>
  <c r="Z22" i="87"/>
  <c r="Z20" i="87"/>
  <c r="Z40" i="87"/>
  <c r="Z27" i="87"/>
  <c r="Z41" i="87"/>
  <c r="Z34" i="87"/>
  <c r="Z36" i="87"/>
  <c r="Z21" i="87"/>
  <c r="Z23" i="87"/>
  <c r="Z28" i="87"/>
  <c r="Z24" i="87"/>
  <c r="Z38" i="87"/>
  <c r="BA34" i="87"/>
  <c r="BD39" i="28"/>
  <c r="AX30" i="87"/>
  <c r="BD40" i="28"/>
  <c r="Y46" i="91"/>
  <c r="Y55" i="91" s="1"/>
  <c r="BN14" i="110" s="1"/>
  <c r="BA34" i="91"/>
  <c r="BA46" i="28"/>
  <c r="Y46" i="87"/>
  <c r="Y55" i="87" s="1"/>
  <c r="AL14" i="110" s="1"/>
  <c r="AX46" i="87"/>
  <c r="Z30" i="28"/>
  <c r="AX30" i="91"/>
  <c r="BC32" i="91"/>
  <c r="Z34" i="91"/>
  <c r="Z24" i="91"/>
  <c r="Z28" i="91"/>
  <c r="Z37" i="91"/>
  <c r="Z42" i="91"/>
  <c r="Z23" i="91"/>
  <c r="Z25" i="91"/>
  <c r="Z21" i="91"/>
  <c r="Z38" i="91"/>
  <c r="Z41" i="91"/>
  <c r="Z39" i="91"/>
  <c r="Z27" i="91"/>
  <c r="Z40" i="91"/>
  <c r="Z35" i="91"/>
  <c r="Z33" i="91"/>
  <c r="Z22" i="91"/>
  <c r="Z36" i="91"/>
  <c r="Z29" i="91"/>
  <c r="Z26" i="91"/>
  <c r="Z20" i="91"/>
  <c r="BD29" i="28"/>
  <c r="Y30" i="87"/>
  <c r="BA41" i="87"/>
  <c r="AV22" i="110" l="1"/>
  <c r="AX22" i="110"/>
  <c r="BJ22" i="110"/>
  <c r="W45" i="110"/>
  <c r="W46" i="110"/>
  <c r="W31" i="110"/>
  <c r="W32" i="110"/>
  <c r="BL31" i="110"/>
  <c r="BL32" i="110"/>
  <c r="AJ31" i="110"/>
  <c r="BL17" i="110"/>
  <c r="W59" i="91"/>
  <c r="BL18" i="110" s="1"/>
  <c r="BA59" i="110"/>
  <c r="BD59" i="110" s="1"/>
  <c r="BA60" i="110"/>
  <c r="AY31" i="110"/>
  <c r="AY32" i="110"/>
  <c r="AJ17" i="110"/>
  <c r="W59" i="87"/>
  <c r="AJ18" i="110" s="1"/>
  <c r="BO59" i="110"/>
  <c r="BO60" i="110"/>
  <c r="AJ45" i="110"/>
  <c r="AJ46" i="110"/>
  <c r="AI17" i="110"/>
  <c r="V59" i="87"/>
  <c r="AI18" i="110" s="1"/>
  <c r="D71" i="106"/>
  <c r="AA100" i="28"/>
  <c r="Z57" i="110" s="1"/>
  <c r="L49" i="106"/>
  <c r="L56" i="110" s="1"/>
  <c r="W58" i="93"/>
  <c r="H8" i="106"/>
  <c r="H15" i="110" s="1"/>
  <c r="T63" i="93"/>
  <c r="Z100" i="28"/>
  <c r="Y57" i="110" s="1"/>
  <c r="AB57" i="110" s="1"/>
  <c r="K48" i="106"/>
  <c r="K55" i="110" s="1"/>
  <c r="N55" i="110" s="1"/>
  <c r="U63" i="91"/>
  <c r="W63" i="89"/>
  <c r="U63" i="89"/>
  <c r="U79" i="93"/>
  <c r="T2" i="107" s="1"/>
  <c r="F28" i="106"/>
  <c r="F35" i="110" s="1"/>
  <c r="F36" i="110" s="1"/>
  <c r="AC100" i="93"/>
  <c r="R100" i="93" s="1"/>
  <c r="L62" i="106"/>
  <c r="L69" i="110" s="1"/>
  <c r="AC100" i="89"/>
  <c r="R100" i="89" s="1"/>
  <c r="V107" i="28"/>
  <c r="AE2" i="107" s="1"/>
  <c r="AC28" i="89"/>
  <c r="R28" i="89" s="1"/>
  <c r="G56" i="106"/>
  <c r="G63" i="110" s="1"/>
  <c r="G64" i="110" s="1"/>
  <c r="AC33" i="28"/>
  <c r="AF33" i="28" s="1"/>
  <c r="AB85" i="28"/>
  <c r="AC85" i="28" s="1"/>
  <c r="R85" i="28" s="1"/>
  <c r="AB113" i="28"/>
  <c r="AA114" i="28"/>
  <c r="Z71" i="110" s="1"/>
  <c r="Z55" i="110"/>
  <c r="L48" i="106"/>
  <c r="L55" i="110" s="1"/>
  <c r="AC26" i="89"/>
  <c r="AF26" i="89" s="1"/>
  <c r="Z42" i="110"/>
  <c r="L35" i="106"/>
  <c r="L42" i="110" s="1"/>
  <c r="Z70" i="110"/>
  <c r="L63" i="106"/>
  <c r="L70" i="110" s="1"/>
  <c r="X56" i="91"/>
  <c r="BM15" i="110" s="1"/>
  <c r="S63" i="28"/>
  <c r="W120" i="28"/>
  <c r="V77" i="110" s="1"/>
  <c r="V78" i="110" s="1"/>
  <c r="CC59" i="110"/>
  <c r="CF59" i="110" s="1"/>
  <c r="BV21" i="110"/>
  <c r="AA106" i="93"/>
  <c r="CD63" i="110" s="1"/>
  <c r="CD64" i="110" s="1"/>
  <c r="CA63" i="110"/>
  <c r="BY17" i="110"/>
  <c r="Y106" i="93"/>
  <c r="CB63" i="110" s="1"/>
  <c r="CB64" i="110" s="1"/>
  <c r="BZ31" i="110"/>
  <c r="U62" i="93"/>
  <c r="BX21" i="110" s="1"/>
  <c r="V78" i="93"/>
  <c r="V79" i="93" s="1"/>
  <c r="S63" i="93"/>
  <c r="AC100" i="91"/>
  <c r="R100" i="91" s="1"/>
  <c r="BQ57" i="110"/>
  <c r="F57" i="106"/>
  <c r="D43" i="106"/>
  <c r="V93" i="28"/>
  <c r="AO2" i="107" s="1"/>
  <c r="G42" i="106"/>
  <c r="G49" i="110" s="1"/>
  <c r="G50" i="110" s="1"/>
  <c r="W59" i="110"/>
  <c r="W73" i="110"/>
  <c r="W106" i="28"/>
  <c r="W107" i="28" s="1"/>
  <c r="AF2" i="107" s="1"/>
  <c r="U77" i="110"/>
  <c r="G70" i="106"/>
  <c r="G71" i="106" s="1"/>
  <c r="F64" i="110"/>
  <c r="V79" i="28"/>
  <c r="AF28" i="89"/>
  <c r="AC27" i="89"/>
  <c r="AF33" i="89"/>
  <c r="R33" i="89"/>
  <c r="AC24" i="89"/>
  <c r="AF36" i="89"/>
  <c r="R36" i="89"/>
  <c r="AF37" i="89"/>
  <c r="R37" i="89"/>
  <c r="AF34" i="89"/>
  <c r="AC22" i="89"/>
  <c r="AF41" i="28"/>
  <c r="R41" i="28"/>
  <c r="AF42" i="89"/>
  <c r="R42" i="89"/>
  <c r="AF35" i="89"/>
  <c r="AF42" i="28"/>
  <c r="R42" i="28"/>
  <c r="AF39" i="89"/>
  <c r="R39" i="89"/>
  <c r="AF20" i="89"/>
  <c r="R20" i="89"/>
  <c r="AC21" i="28"/>
  <c r="AF21" i="28" s="1"/>
  <c r="AB112" i="28"/>
  <c r="AA69" i="110" s="1"/>
  <c r="AF36" i="28"/>
  <c r="R36" i="28"/>
  <c r="AF38" i="28"/>
  <c r="R38" i="28"/>
  <c r="AF39" i="28"/>
  <c r="R39" i="28"/>
  <c r="AF37" i="28"/>
  <c r="R37" i="28"/>
  <c r="AC35" i="28"/>
  <c r="R35" i="28" s="1"/>
  <c r="AB99" i="28"/>
  <c r="AA56" i="110" s="1"/>
  <c r="AF20" i="28"/>
  <c r="R20" i="28"/>
  <c r="X56" i="87"/>
  <c r="AK15" i="110" s="1"/>
  <c r="AC25" i="28"/>
  <c r="R25" i="28" s="1"/>
  <c r="AC21" i="89"/>
  <c r="AC23" i="89"/>
  <c r="X88" i="87"/>
  <c r="X89" i="87" s="1"/>
  <c r="BB64" i="110"/>
  <c r="I36" i="106"/>
  <c r="I43" i="110" s="1"/>
  <c r="AC29" i="89"/>
  <c r="AA107" i="91"/>
  <c r="AB102" i="87"/>
  <c r="AB103" i="87" s="1"/>
  <c r="AC100" i="87"/>
  <c r="R100" i="87" s="1"/>
  <c r="AA107" i="89"/>
  <c r="BP64" i="110"/>
  <c r="BJ43" i="28"/>
  <c r="BI46" i="28"/>
  <c r="AX36" i="110"/>
  <c r="BJ43" i="89"/>
  <c r="BI46" i="89"/>
  <c r="BJ43" i="87"/>
  <c r="BI46" i="87"/>
  <c r="BJ43" i="93"/>
  <c r="BI46" i="93"/>
  <c r="AB102" i="91"/>
  <c r="AB103" i="91" s="1"/>
  <c r="AA107" i="87"/>
  <c r="AB102" i="93"/>
  <c r="AB103" i="93" s="1"/>
  <c r="BJ43" i="91"/>
  <c r="BI46" i="91"/>
  <c r="AB102" i="89"/>
  <c r="AB103" i="89" s="1"/>
  <c r="AN64" i="110"/>
  <c r="AC26" i="28"/>
  <c r="AC25" i="89"/>
  <c r="AC22" i="28"/>
  <c r="AC27" i="28"/>
  <c r="BJ34" i="28"/>
  <c r="BG34" i="28"/>
  <c r="BG40" i="28"/>
  <c r="BJ40" i="28"/>
  <c r="AC34" i="28"/>
  <c r="R34" i="28" s="1"/>
  <c r="BJ40" i="89"/>
  <c r="BG40" i="89"/>
  <c r="BG38" i="89"/>
  <c r="BJ38" i="89"/>
  <c r="AC28" i="28"/>
  <c r="BJ38" i="28"/>
  <c r="BG38" i="28"/>
  <c r="BG35" i="28"/>
  <c r="BJ35" i="28"/>
  <c r="AB53" i="89"/>
  <c r="AB69" i="89" s="1"/>
  <c r="AB83" i="89" s="1"/>
  <c r="AB97" i="89" s="1"/>
  <c r="AB111" i="89" s="1"/>
  <c r="AA69" i="89"/>
  <c r="AA83" i="89" s="1"/>
  <c r="AA97" i="89" s="1"/>
  <c r="AA111" i="89" s="1"/>
  <c r="L34" i="106"/>
  <c r="L41" i="110" s="1"/>
  <c r="AA86" i="28"/>
  <c r="Z43" i="110" s="1"/>
  <c r="AA56" i="28"/>
  <c r="Z15" i="110" s="1"/>
  <c r="BJ42" i="89"/>
  <c r="BG42" i="89"/>
  <c r="AA72" i="28"/>
  <c r="Z29" i="110" s="1"/>
  <c r="BG41" i="89"/>
  <c r="BJ41" i="89"/>
  <c r="AA71" i="91"/>
  <c r="BP28" i="110" s="1"/>
  <c r="AA46" i="91"/>
  <c r="AA55" i="91" s="1"/>
  <c r="BP14" i="110" s="1"/>
  <c r="I6" i="106"/>
  <c r="I13" i="110" s="1"/>
  <c r="G10" i="106"/>
  <c r="G17" i="110" s="1"/>
  <c r="BG42" i="28"/>
  <c r="BJ42" i="28"/>
  <c r="BJ39" i="28"/>
  <c r="BG39" i="28"/>
  <c r="AA56" i="89"/>
  <c r="BB15" i="110" s="1"/>
  <c r="BJ35" i="89"/>
  <c r="BG35" i="89"/>
  <c r="AB39" i="93"/>
  <c r="AC39" i="93" s="1"/>
  <c r="AB25" i="93"/>
  <c r="BJ25" i="93" s="1"/>
  <c r="AB42" i="93"/>
  <c r="AB38" i="93"/>
  <c r="AC38" i="93" s="1"/>
  <c r="AB34" i="93"/>
  <c r="AC34" i="93" s="1"/>
  <c r="R34" i="93" s="1"/>
  <c r="AB28" i="93"/>
  <c r="BJ28" i="93" s="1"/>
  <c r="AB24" i="93"/>
  <c r="BJ24" i="93" s="1"/>
  <c r="AB20" i="93"/>
  <c r="AB29" i="93"/>
  <c r="BJ29" i="93" s="1"/>
  <c r="AB41" i="93"/>
  <c r="AC41" i="93" s="1"/>
  <c r="AB37" i="93"/>
  <c r="AB33" i="93"/>
  <c r="AC33" i="93" s="1"/>
  <c r="AB27" i="93"/>
  <c r="BJ27" i="93" s="1"/>
  <c r="AB23" i="93"/>
  <c r="BJ23" i="93" s="1"/>
  <c r="AB35" i="93"/>
  <c r="AC35" i="93" s="1"/>
  <c r="R35" i="93" s="1"/>
  <c r="AB21" i="93"/>
  <c r="BJ21" i="93" s="1"/>
  <c r="BI19" i="93"/>
  <c r="BI32" i="93" s="1"/>
  <c r="AB40" i="93"/>
  <c r="AC40" i="93" s="1"/>
  <c r="AB36" i="93"/>
  <c r="AC36" i="93" s="1"/>
  <c r="AB26" i="93"/>
  <c r="BJ26" i="93" s="1"/>
  <c r="AB22" i="93"/>
  <c r="BJ22" i="93" s="1"/>
  <c r="AA30" i="91"/>
  <c r="AA54" i="91" s="1"/>
  <c r="BP13" i="110" s="1"/>
  <c r="BG21" i="91"/>
  <c r="AA72" i="89"/>
  <c r="BB29" i="110" s="1"/>
  <c r="AB53" i="28"/>
  <c r="AB69" i="28" s="1"/>
  <c r="AB83" i="28" s="1"/>
  <c r="AB97" i="28" s="1"/>
  <c r="AB111" i="28" s="1"/>
  <c r="AA69" i="28"/>
  <c r="AA83" i="28" s="1"/>
  <c r="AA97" i="28" s="1"/>
  <c r="AA111" i="28" s="1"/>
  <c r="AB40" i="91"/>
  <c r="AC40" i="91" s="1"/>
  <c r="AB36" i="91"/>
  <c r="AC36" i="91" s="1"/>
  <c r="AB26" i="91"/>
  <c r="BJ26" i="91" s="1"/>
  <c r="AB22" i="91"/>
  <c r="BJ22" i="91" s="1"/>
  <c r="AB41" i="91"/>
  <c r="AC41" i="91" s="1"/>
  <c r="BI19" i="91"/>
  <c r="BI32" i="91" s="1"/>
  <c r="AB39" i="91"/>
  <c r="AC39" i="91" s="1"/>
  <c r="AB35" i="91"/>
  <c r="AC35" i="91" s="1"/>
  <c r="R35" i="91" s="1"/>
  <c r="AB29" i="91"/>
  <c r="BJ29" i="91" s="1"/>
  <c r="AB25" i="91"/>
  <c r="BJ25" i="91" s="1"/>
  <c r="AB21" i="91"/>
  <c r="BJ21" i="91" s="1"/>
  <c r="AB33" i="91"/>
  <c r="AC33" i="91" s="1"/>
  <c r="AB27" i="91"/>
  <c r="BJ27" i="91" s="1"/>
  <c r="AB37" i="91"/>
  <c r="AC37" i="91" s="1"/>
  <c r="AB42" i="91"/>
  <c r="AC42" i="91" s="1"/>
  <c r="AB38" i="91"/>
  <c r="AC38" i="91" s="1"/>
  <c r="AB34" i="91"/>
  <c r="AC34" i="91" s="1"/>
  <c r="R34" i="91" s="1"/>
  <c r="AB28" i="91"/>
  <c r="BJ28" i="91" s="1"/>
  <c r="AB24" i="91"/>
  <c r="BJ24" i="91" s="1"/>
  <c r="AB20" i="91"/>
  <c r="AC20" i="91" s="1"/>
  <c r="AB23" i="91"/>
  <c r="BJ23" i="91" s="1"/>
  <c r="AB53" i="91"/>
  <c r="AB69" i="91" s="1"/>
  <c r="AB83" i="91" s="1"/>
  <c r="AB97" i="91" s="1"/>
  <c r="AB111" i="91" s="1"/>
  <c r="AA69" i="91"/>
  <c r="AA83" i="91" s="1"/>
  <c r="AA97" i="91" s="1"/>
  <c r="AA111" i="91" s="1"/>
  <c r="BJ39" i="89"/>
  <c r="BG39" i="89"/>
  <c r="AA46" i="87"/>
  <c r="AA55" i="87" s="1"/>
  <c r="AN14" i="110" s="1"/>
  <c r="AA71" i="87"/>
  <c r="AN28" i="110" s="1"/>
  <c r="AA70" i="91"/>
  <c r="BP27" i="110" s="1"/>
  <c r="BG20" i="91"/>
  <c r="Y86" i="87"/>
  <c r="AL43" i="110" s="1"/>
  <c r="BG33" i="28"/>
  <c r="BJ33" i="28"/>
  <c r="AB46" i="28"/>
  <c r="AB55" i="28" s="1"/>
  <c r="AA14" i="110" s="1"/>
  <c r="AB71" i="28"/>
  <c r="AA28" i="110" s="1"/>
  <c r="AB98" i="28"/>
  <c r="AA55" i="110" s="1"/>
  <c r="BJ23" i="28"/>
  <c r="BJ41" i="28"/>
  <c r="BG41" i="28"/>
  <c r="AA46" i="93"/>
  <c r="AA55" i="93" s="1"/>
  <c r="CD14" i="110" s="1"/>
  <c r="AA71" i="93"/>
  <c r="CD28" i="110" s="1"/>
  <c r="AC40" i="28"/>
  <c r="AB70" i="89"/>
  <c r="BC27" i="110" s="1"/>
  <c r="AB30" i="89"/>
  <c r="AB54" i="89" s="1"/>
  <c r="BC13" i="110" s="1"/>
  <c r="BJ20" i="89"/>
  <c r="AC29" i="28"/>
  <c r="AB30" i="28"/>
  <c r="AB54" i="28" s="1"/>
  <c r="AA13" i="110" s="1"/>
  <c r="AB70" i="28"/>
  <c r="AA27" i="110" s="1"/>
  <c r="BJ20" i="28"/>
  <c r="BJ37" i="28"/>
  <c r="BG37" i="28"/>
  <c r="AB33" i="87"/>
  <c r="AB23" i="87"/>
  <c r="BJ23" i="87" s="1"/>
  <c r="BI19" i="87"/>
  <c r="BI32" i="87" s="1"/>
  <c r="AB40" i="87"/>
  <c r="AC40" i="87" s="1"/>
  <c r="AB36" i="87"/>
  <c r="AB26" i="87"/>
  <c r="BJ26" i="87" s="1"/>
  <c r="AB22" i="87"/>
  <c r="BJ22" i="87" s="1"/>
  <c r="AB39" i="87"/>
  <c r="AB35" i="87"/>
  <c r="AB29" i="87"/>
  <c r="BJ29" i="87" s="1"/>
  <c r="AB25" i="87"/>
  <c r="BJ25" i="87" s="1"/>
  <c r="AB21" i="87"/>
  <c r="BJ21" i="87" s="1"/>
  <c r="AB41" i="87"/>
  <c r="AC41" i="87" s="1"/>
  <c r="AB37" i="87"/>
  <c r="AC37" i="87" s="1"/>
  <c r="AB27" i="87"/>
  <c r="BJ27" i="87" s="1"/>
  <c r="AB42" i="87"/>
  <c r="AC42" i="87" s="1"/>
  <c r="AB38" i="87"/>
  <c r="AC38" i="87" s="1"/>
  <c r="AB34" i="87"/>
  <c r="AC34" i="87" s="1"/>
  <c r="R34" i="87" s="1"/>
  <c r="AB28" i="87"/>
  <c r="BJ28" i="87" s="1"/>
  <c r="AB24" i="87"/>
  <c r="BJ24" i="87" s="1"/>
  <c r="AB20" i="87"/>
  <c r="AC20" i="87" s="1"/>
  <c r="AB84" i="28"/>
  <c r="AA41" i="110" s="1"/>
  <c r="BJ21" i="28"/>
  <c r="AC24" i="28"/>
  <c r="AB71" i="89"/>
  <c r="AB46" i="89"/>
  <c r="AB55" i="89" s="1"/>
  <c r="BC14" i="110" s="1"/>
  <c r="BG33" i="89"/>
  <c r="BJ33" i="89"/>
  <c r="AB53" i="93"/>
  <c r="AB69" i="93" s="1"/>
  <c r="AB83" i="93" s="1"/>
  <c r="AB97" i="93" s="1"/>
  <c r="AB111" i="93" s="1"/>
  <c r="AA69" i="93"/>
  <c r="AA83" i="93" s="1"/>
  <c r="AA97" i="93" s="1"/>
  <c r="AA111" i="93" s="1"/>
  <c r="Z69" i="87"/>
  <c r="Z83" i="87" s="1"/>
  <c r="Z97" i="87" s="1"/>
  <c r="Z111" i="87" s="1"/>
  <c r="AA53" i="87"/>
  <c r="AC41" i="89"/>
  <c r="BJ36" i="28"/>
  <c r="BG36" i="28"/>
  <c r="AC40" i="89"/>
  <c r="AC38" i="89"/>
  <c r="AA30" i="93"/>
  <c r="AA54" i="93" s="1"/>
  <c r="CD13" i="110" s="1"/>
  <c r="AA70" i="93"/>
  <c r="CD27" i="110" s="1"/>
  <c r="BG20" i="93"/>
  <c r="BG36" i="89"/>
  <c r="BJ36" i="89"/>
  <c r="BG37" i="89"/>
  <c r="BJ37" i="89"/>
  <c r="BG34" i="89"/>
  <c r="BJ34" i="89"/>
  <c r="AA70" i="87"/>
  <c r="AN27" i="110" s="1"/>
  <c r="AA30" i="87"/>
  <c r="AA54" i="87" s="1"/>
  <c r="AN13" i="110" s="1"/>
  <c r="BG20" i="87"/>
  <c r="BZ32" i="110"/>
  <c r="AB41" i="110"/>
  <c r="D36" i="110"/>
  <c r="U22" i="110"/>
  <c r="AB42" i="110"/>
  <c r="W79" i="89"/>
  <c r="AF22" i="110"/>
  <c r="N56" i="110"/>
  <c r="N49" i="106"/>
  <c r="J50" i="106"/>
  <c r="J57" i="110" s="1"/>
  <c r="AV36" i="110"/>
  <c r="Y107" i="91"/>
  <c r="BN64" i="110"/>
  <c r="V79" i="91"/>
  <c r="BK36" i="110"/>
  <c r="BJ36" i="110"/>
  <c r="AJ32" i="110"/>
  <c r="X74" i="91"/>
  <c r="X75" i="91" s="1"/>
  <c r="Y107" i="89"/>
  <c r="AZ64" i="110"/>
  <c r="X58" i="93"/>
  <c r="X59" i="93" s="1"/>
  <c r="X74" i="87"/>
  <c r="X75" i="87" s="1"/>
  <c r="AP60" i="110"/>
  <c r="G25" i="106"/>
  <c r="G32" i="110" s="1"/>
  <c r="V63" i="89"/>
  <c r="AI36" i="110"/>
  <c r="Y74" i="89"/>
  <c r="Y75" i="89" s="1"/>
  <c r="X74" i="93"/>
  <c r="X75" i="93" s="1"/>
  <c r="BK22" i="110"/>
  <c r="AH50" i="110"/>
  <c r="X58" i="28"/>
  <c r="Y58" i="89"/>
  <c r="H38" i="106"/>
  <c r="H45" i="110" s="1"/>
  <c r="BY18" i="110"/>
  <c r="H67" i="106"/>
  <c r="H74" i="110" s="1"/>
  <c r="Y102" i="28"/>
  <c r="Y103" i="28" s="1"/>
  <c r="E29" i="106"/>
  <c r="E36" i="110"/>
  <c r="AB70" i="110"/>
  <c r="T63" i="28"/>
  <c r="S22" i="110"/>
  <c r="N62" i="106"/>
  <c r="N69" i="110"/>
  <c r="E14" i="106"/>
  <c r="E21" i="110" s="1"/>
  <c r="E43" i="106"/>
  <c r="E50" i="110"/>
  <c r="BD34" i="91"/>
  <c r="BD22" i="91"/>
  <c r="BD21" i="91"/>
  <c r="BD22" i="93"/>
  <c r="BD36" i="91"/>
  <c r="BD22" i="87"/>
  <c r="BD24" i="93"/>
  <c r="BD27" i="93"/>
  <c r="BD25" i="93"/>
  <c r="BD34" i="87"/>
  <c r="V63" i="28"/>
  <c r="W62" i="28"/>
  <c r="V21" i="110" s="1"/>
  <c r="BD23" i="87"/>
  <c r="BD23" i="93"/>
  <c r="BD20" i="93"/>
  <c r="BD28" i="93"/>
  <c r="BD21" i="93"/>
  <c r="Y88" i="28"/>
  <c r="Y89" i="28" s="1"/>
  <c r="J64" i="106"/>
  <c r="J71" i="110" s="1"/>
  <c r="BD20" i="91"/>
  <c r="BD37" i="91"/>
  <c r="BD27" i="87"/>
  <c r="BD41" i="87"/>
  <c r="BD38" i="87"/>
  <c r="BD25" i="87"/>
  <c r="BD26" i="91"/>
  <c r="BD39" i="91"/>
  <c r="BD28" i="91"/>
  <c r="BD24" i="87"/>
  <c r="BD38" i="91"/>
  <c r="BD25" i="91"/>
  <c r="BD24" i="91"/>
  <c r="BD20" i="87"/>
  <c r="BD26" i="93"/>
  <c r="Y58" i="28"/>
  <c r="H53" i="106"/>
  <c r="H60" i="110" s="1"/>
  <c r="W74" i="110"/>
  <c r="I66" i="106"/>
  <c r="I73" i="110" s="1"/>
  <c r="Z114" i="28"/>
  <c r="Y71" i="110" s="1"/>
  <c r="K63" i="106"/>
  <c r="K70" i="110" s="1"/>
  <c r="W60" i="110"/>
  <c r="I52" i="106"/>
  <c r="I59" i="110" s="1"/>
  <c r="AC113" i="28"/>
  <c r="R113" i="28" s="1"/>
  <c r="Y116" i="28"/>
  <c r="Y117" i="28" s="1"/>
  <c r="CC60" i="110"/>
  <c r="Z55" i="89"/>
  <c r="BA14" i="110" s="1"/>
  <c r="H24" i="106"/>
  <c r="H31" i="110" s="1"/>
  <c r="D29" i="106"/>
  <c r="AE46" i="28"/>
  <c r="M46" i="93"/>
  <c r="M46" i="89"/>
  <c r="M46" i="87"/>
  <c r="M46" i="28"/>
  <c r="M46" i="91"/>
  <c r="Z107" i="87"/>
  <c r="X92" i="87"/>
  <c r="AK49" i="110" s="1"/>
  <c r="Y92" i="87"/>
  <c r="AL49" i="110" s="1"/>
  <c r="U93" i="87"/>
  <c r="AN2" i="107" s="1"/>
  <c r="W92" i="87"/>
  <c r="AJ49" i="110" s="1"/>
  <c r="F42" i="106"/>
  <c r="F49" i="110" s="1"/>
  <c r="S63" i="87"/>
  <c r="D14" i="106"/>
  <c r="D21" i="110" s="1"/>
  <c r="J34" i="106"/>
  <c r="J41" i="110" s="1"/>
  <c r="BD28" i="87"/>
  <c r="Z84" i="87"/>
  <c r="AM41" i="110" s="1"/>
  <c r="BD21" i="87"/>
  <c r="BD23" i="91"/>
  <c r="BD26" i="87"/>
  <c r="BD27" i="91"/>
  <c r="Y74" i="28"/>
  <c r="Y75" i="28" s="1"/>
  <c r="U62" i="87"/>
  <c r="AH21" i="110" s="1"/>
  <c r="W78" i="87"/>
  <c r="AJ35" i="110" s="1"/>
  <c r="V79" i="87"/>
  <c r="J20" i="106"/>
  <c r="J27" i="110" s="1"/>
  <c r="Z70" i="91"/>
  <c r="BO27" i="110" s="1"/>
  <c r="K35" i="106"/>
  <c r="K42" i="110" s="1"/>
  <c r="F11" i="106"/>
  <c r="F18" i="110" s="1"/>
  <c r="Z71" i="87"/>
  <c r="AM28" i="110" s="1"/>
  <c r="Y72" i="93"/>
  <c r="CB29" i="110" s="1"/>
  <c r="I22" i="106"/>
  <c r="I29" i="110" s="1"/>
  <c r="J7" i="106"/>
  <c r="J14" i="110" s="1"/>
  <c r="Z86" i="28"/>
  <c r="Y43" i="110" s="1"/>
  <c r="Z72" i="28"/>
  <c r="Y29" i="110" s="1"/>
  <c r="W78" i="28"/>
  <c r="V35" i="110" s="1"/>
  <c r="Z71" i="93"/>
  <c r="CC28" i="110" s="1"/>
  <c r="Y72" i="91"/>
  <c r="BN29" i="110" s="1"/>
  <c r="Z71" i="91"/>
  <c r="BO28" i="110" s="1"/>
  <c r="Z70" i="87"/>
  <c r="AM27" i="110" s="1"/>
  <c r="W92" i="28"/>
  <c r="V49" i="110" s="1"/>
  <c r="J21" i="106"/>
  <c r="J28" i="110" s="1"/>
  <c r="Z72" i="89"/>
  <c r="BA29" i="110" s="1"/>
  <c r="Y72" i="87"/>
  <c r="AL29" i="110" s="1"/>
  <c r="Z70" i="93"/>
  <c r="CC27" i="110" s="1"/>
  <c r="AF43" i="28"/>
  <c r="V63" i="91"/>
  <c r="Y56" i="93"/>
  <c r="CB15" i="110" s="1"/>
  <c r="Z54" i="28"/>
  <c r="Y13" i="110" s="1"/>
  <c r="X58" i="89"/>
  <c r="Y56" i="91"/>
  <c r="BN15" i="110" s="1"/>
  <c r="Y54" i="87"/>
  <c r="AL13" i="110" s="1"/>
  <c r="AE43" i="87"/>
  <c r="BD43" i="89"/>
  <c r="BC46" i="89"/>
  <c r="BD46" i="89" s="1"/>
  <c r="AE43" i="89"/>
  <c r="BC46" i="93"/>
  <c r="BD43" i="93"/>
  <c r="AE43" i="93"/>
  <c r="AE43" i="91"/>
  <c r="BC46" i="91"/>
  <c r="BD43" i="91"/>
  <c r="AF23" i="28"/>
  <c r="BD36" i="93"/>
  <c r="BA46" i="93"/>
  <c r="BD33" i="93"/>
  <c r="Z46" i="93"/>
  <c r="BD39" i="93"/>
  <c r="BD29" i="93"/>
  <c r="BD34" i="93"/>
  <c r="BD38" i="93"/>
  <c r="BD35" i="93"/>
  <c r="BD41" i="93"/>
  <c r="Z30" i="93"/>
  <c r="BD37" i="93"/>
  <c r="BD42" i="93"/>
  <c r="BD40" i="93"/>
  <c r="BD30" i="89"/>
  <c r="BA30" i="89"/>
  <c r="BD37" i="87"/>
  <c r="BD29" i="91"/>
  <c r="BD41" i="91"/>
  <c r="BD30" i="28"/>
  <c r="BA30" i="28"/>
  <c r="Z30" i="87"/>
  <c r="Z54" i="87" s="1"/>
  <c r="AM13" i="110" s="1"/>
  <c r="BD39" i="87"/>
  <c r="BD33" i="87"/>
  <c r="Z46" i="87"/>
  <c r="Z30" i="91"/>
  <c r="Z54" i="91" s="1"/>
  <c r="BO13" i="110" s="1"/>
  <c r="BD42" i="87"/>
  <c r="BD33" i="91"/>
  <c r="Z46" i="91"/>
  <c r="BA46" i="87"/>
  <c r="BD36" i="87"/>
  <c r="BD35" i="87"/>
  <c r="BD40" i="87"/>
  <c r="BD35" i="91"/>
  <c r="BD40" i="91"/>
  <c r="BD42" i="91"/>
  <c r="BD29" i="87"/>
  <c r="BA46" i="91"/>
  <c r="BD46" i="28"/>
  <c r="AI22" i="110" l="1"/>
  <c r="X31" i="110"/>
  <c r="X32" i="110"/>
  <c r="X45" i="110"/>
  <c r="X46" i="110"/>
  <c r="W17" i="110"/>
  <c r="X59" i="28"/>
  <c r="W18" i="110" s="1"/>
  <c r="X17" i="110"/>
  <c r="Y59" i="28"/>
  <c r="AZ31" i="110"/>
  <c r="AZ32" i="110"/>
  <c r="H10" i="106"/>
  <c r="H17" i="110" s="1"/>
  <c r="W59" i="93"/>
  <c r="BZ18" i="110" s="1"/>
  <c r="BQ59" i="110"/>
  <c r="BQ60" i="110"/>
  <c r="BM31" i="110"/>
  <c r="AZ17" i="110"/>
  <c r="Y59" i="89"/>
  <c r="AZ18" i="110" s="1"/>
  <c r="AK45" i="110"/>
  <c r="AK46" i="110"/>
  <c r="AY17" i="110"/>
  <c r="X59" i="89"/>
  <c r="AY18" i="110" s="1"/>
  <c r="AK31" i="110"/>
  <c r="AK32" i="110"/>
  <c r="AO59" i="110"/>
  <c r="V63" i="87"/>
  <c r="AA102" i="28"/>
  <c r="AA103" i="28" s="1"/>
  <c r="L50" i="106"/>
  <c r="L57" i="110" s="1"/>
  <c r="BZ17" i="110"/>
  <c r="U2" i="107"/>
  <c r="K50" i="106"/>
  <c r="K57" i="110" s="1"/>
  <c r="N57" i="110" s="1"/>
  <c r="Z102" i="28"/>
  <c r="Z103" i="28" s="1"/>
  <c r="N48" i="106"/>
  <c r="D26" i="104"/>
  <c r="D26" i="102"/>
  <c r="F29" i="106"/>
  <c r="R26" i="89"/>
  <c r="D22" i="104"/>
  <c r="D22" i="102"/>
  <c r="AC24" i="93"/>
  <c r="AF24" i="93" s="1"/>
  <c r="D24" i="102"/>
  <c r="R33" i="28"/>
  <c r="D24" i="104"/>
  <c r="G28" i="106"/>
  <c r="G35" i="110" s="1"/>
  <c r="G36" i="110" s="1"/>
  <c r="X58" i="87"/>
  <c r="G57" i="106"/>
  <c r="X78" i="28"/>
  <c r="W35" i="110" s="1"/>
  <c r="W36" i="110" s="1"/>
  <c r="I38" i="106"/>
  <c r="I45" i="110" s="1"/>
  <c r="AF25" i="28"/>
  <c r="AA116" i="28"/>
  <c r="AA117" i="28" s="1"/>
  <c r="L64" i="106"/>
  <c r="L71" i="110" s="1"/>
  <c r="X58" i="91"/>
  <c r="W78" i="93"/>
  <c r="BZ35" i="110" s="1"/>
  <c r="BZ36" i="110" s="1"/>
  <c r="X120" i="28"/>
  <c r="X121" i="28" s="1"/>
  <c r="W121" i="28"/>
  <c r="AA107" i="93"/>
  <c r="H70" i="106"/>
  <c r="H77" i="110" s="1"/>
  <c r="H78" i="110" s="1"/>
  <c r="AA70" i="110"/>
  <c r="M63" i="106"/>
  <c r="M70" i="110" s="1"/>
  <c r="I8" i="106"/>
  <c r="I15" i="110" s="1"/>
  <c r="AA42" i="110"/>
  <c r="M35" i="106"/>
  <c r="M42" i="110" s="1"/>
  <c r="Y107" i="93"/>
  <c r="CA17" i="110"/>
  <c r="CA31" i="110"/>
  <c r="V62" i="93"/>
  <c r="V63" i="93" s="1"/>
  <c r="W62" i="93"/>
  <c r="BZ21" i="110" s="1"/>
  <c r="BV22" i="110"/>
  <c r="Z106" i="93"/>
  <c r="CC63" i="110" s="1"/>
  <c r="CF63" i="110" s="1"/>
  <c r="U63" i="93"/>
  <c r="BY35" i="110"/>
  <c r="BY36" i="110" s="1"/>
  <c r="CA64" i="110"/>
  <c r="AC102" i="91"/>
  <c r="R102" i="91" s="1"/>
  <c r="AC71" i="89"/>
  <c r="R71" i="89" s="1"/>
  <c r="BC28" i="110"/>
  <c r="BD28" i="110" s="1"/>
  <c r="G43" i="106"/>
  <c r="AC102" i="93"/>
  <c r="R102" i="93" s="1"/>
  <c r="CE59" i="110"/>
  <c r="AC102" i="89"/>
  <c r="R102" i="89" s="1"/>
  <c r="BC59" i="110"/>
  <c r="AF35" i="28"/>
  <c r="X92" i="28"/>
  <c r="W49" i="110" s="1"/>
  <c r="W50" i="110" s="1"/>
  <c r="X59" i="110"/>
  <c r="G77" i="110"/>
  <c r="X106" i="28"/>
  <c r="X107" i="28" s="1"/>
  <c r="AG2" i="107" s="1"/>
  <c r="X73" i="110"/>
  <c r="U78" i="110"/>
  <c r="V63" i="110"/>
  <c r="H56" i="106"/>
  <c r="H57" i="106" s="1"/>
  <c r="R41" i="91"/>
  <c r="AF41" i="91"/>
  <c r="AF38" i="89"/>
  <c r="R38" i="89"/>
  <c r="AF37" i="87"/>
  <c r="R37" i="87"/>
  <c r="AF38" i="91"/>
  <c r="R38" i="91"/>
  <c r="AF35" i="91"/>
  <c r="AF40" i="93"/>
  <c r="R40" i="93"/>
  <c r="AF41" i="93"/>
  <c r="R41" i="93"/>
  <c r="AF26" i="28"/>
  <c r="R26" i="28"/>
  <c r="AF42" i="91"/>
  <c r="R42" i="91"/>
  <c r="AF39" i="91"/>
  <c r="R39" i="91"/>
  <c r="AF39" i="93"/>
  <c r="R39" i="93"/>
  <c r="AF23" i="89"/>
  <c r="R23" i="89"/>
  <c r="AF40" i="87"/>
  <c r="R40" i="87"/>
  <c r="AF37" i="91"/>
  <c r="R37" i="91"/>
  <c r="AF21" i="89"/>
  <c r="R21" i="89"/>
  <c r="AF24" i="89"/>
  <c r="R24" i="89"/>
  <c r="AF20" i="87"/>
  <c r="R20" i="87"/>
  <c r="AF41" i="87"/>
  <c r="R41" i="87"/>
  <c r="AF29" i="28"/>
  <c r="R29" i="28"/>
  <c r="AF35" i="93"/>
  <c r="AF28" i="28"/>
  <c r="R28" i="28"/>
  <c r="R22" i="89"/>
  <c r="AF22" i="89"/>
  <c r="AF40" i="89"/>
  <c r="R40" i="89"/>
  <c r="AF41" i="89"/>
  <c r="R41" i="89"/>
  <c r="AF34" i="87"/>
  <c r="AF20" i="91"/>
  <c r="R20" i="91"/>
  <c r="AF33" i="91"/>
  <c r="R33" i="91"/>
  <c r="AF38" i="87"/>
  <c r="R38" i="87"/>
  <c r="AF34" i="93"/>
  <c r="AF27" i="28"/>
  <c r="R27" i="28"/>
  <c r="AF29" i="89"/>
  <c r="R29" i="89"/>
  <c r="R27" i="89"/>
  <c r="AF27" i="89"/>
  <c r="AF24" i="28"/>
  <c r="R24" i="28"/>
  <c r="AF42" i="87"/>
  <c r="R42" i="87"/>
  <c r="AF36" i="91"/>
  <c r="R36" i="91"/>
  <c r="AF33" i="93"/>
  <c r="R33" i="93"/>
  <c r="AF38" i="93"/>
  <c r="R38" i="93"/>
  <c r="AF22" i="28"/>
  <c r="R22" i="28"/>
  <c r="AF40" i="28"/>
  <c r="R40" i="28"/>
  <c r="AF34" i="91"/>
  <c r="AF40" i="91"/>
  <c r="R40" i="91"/>
  <c r="AF36" i="93"/>
  <c r="R36" i="93"/>
  <c r="AF25" i="89"/>
  <c r="R25" i="89"/>
  <c r="R21" i="28"/>
  <c r="M62" i="106"/>
  <c r="M69" i="110" s="1"/>
  <c r="AB114" i="28"/>
  <c r="AA71" i="110" s="1"/>
  <c r="AF34" i="28"/>
  <c r="M49" i="106"/>
  <c r="M56" i="110" s="1"/>
  <c r="AC99" i="28"/>
  <c r="R99" i="28" s="1"/>
  <c r="AC55" i="28"/>
  <c r="R55" i="28" s="1"/>
  <c r="AC46" i="28"/>
  <c r="BG46" i="28" s="1"/>
  <c r="AC46" i="89"/>
  <c r="AC28" i="93"/>
  <c r="J36" i="106"/>
  <c r="J43" i="110" s="1"/>
  <c r="Y88" i="87"/>
  <c r="Y89" i="87" s="1"/>
  <c r="AC25" i="87"/>
  <c r="AC71" i="28"/>
  <c r="R71" i="28" s="1"/>
  <c r="AC24" i="91"/>
  <c r="AC70" i="28"/>
  <c r="R70" i="28" s="1"/>
  <c r="AC27" i="91"/>
  <c r="AC24" i="87"/>
  <c r="AC25" i="93"/>
  <c r="AC84" i="28"/>
  <c r="R84" i="28" s="1"/>
  <c r="AC70" i="89"/>
  <c r="R70" i="89" s="1"/>
  <c r="BD27" i="110"/>
  <c r="AC22" i="91"/>
  <c r="AC28" i="87"/>
  <c r="CE60" i="110"/>
  <c r="AC102" i="87"/>
  <c r="R102" i="87" s="1"/>
  <c r="AC21" i="87"/>
  <c r="BC60" i="110"/>
  <c r="E15" i="106"/>
  <c r="E22" i="110"/>
  <c r="BL36" i="110"/>
  <c r="AC30" i="28"/>
  <c r="R30" i="28" s="1"/>
  <c r="AC29" i="91"/>
  <c r="AC27" i="93"/>
  <c r="AC22" i="93"/>
  <c r="AC26" i="93"/>
  <c r="AC27" i="87"/>
  <c r="AP41" i="110"/>
  <c r="AC22" i="87"/>
  <c r="AC28" i="91"/>
  <c r="L7" i="106"/>
  <c r="L14" i="110" s="1"/>
  <c r="AC25" i="91"/>
  <c r="AC23" i="93"/>
  <c r="L6" i="106"/>
  <c r="L13" i="110" s="1"/>
  <c r="M34" i="106"/>
  <c r="M41" i="110" s="1"/>
  <c r="AB86" i="28"/>
  <c r="AA43" i="110" s="1"/>
  <c r="BG35" i="87"/>
  <c r="BJ35" i="87"/>
  <c r="M48" i="106"/>
  <c r="M55" i="110" s="1"/>
  <c r="AB100" i="28"/>
  <c r="AA57" i="110" s="1"/>
  <c r="AC98" i="28"/>
  <c r="R98" i="28" s="1"/>
  <c r="AC35" i="87"/>
  <c r="R35" i="87" s="1"/>
  <c r="BG42" i="87"/>
  <c r="BJ42" i="87"/>
  <c r="BJ39" i="87"/>
  <c r="BG39" i="87"/>
  <c r="AB72" i="89"/>
  <c r="BC29" i="110" s="1"/>
  <c r="AB28" i="110"/>
  <c r="BJ36" i="91"/>
  <c r="BG36" i="91"/>
  <c r="BG35" i="93"/>
  <c r="BJ35" i="93"/>
  <c r="AB30" i="93"/>
  <c r="AB54" i="93" s="1"/>
  <c r="CE13" i="110" s="1"/>
  <c r="AB70" i="93"/>
  <c r="CE27" i="110" s="1"/>
  <c r="BJ20" i="93"/>
  <c r="AC21" i="93"/>
  <c r="AC23" i="87"/>
  <c r="AA56" i="87"/>
  <c r="AN15" i="110" s="1"/>
  <c r="AC30" i="89"/>
  <c r="L21" i="106"/>
  <c r="L28" i="110" s="1"/>
  <c r="AC29" i="93"/>
  <c r="BG34" i="91"/>
  <c r="BJ34" i="91"/>
  <c r="BG40" i="91"/>
  <c r="BJ40" i="91"/>
  <c r="AA56" i="91"/>
  <c r="BP15" i="110" s="1"/>
  <c r="AA58" i="89"/>
  <c r="AA74" i="28"/>
  <c r="AA75" i="28" s="1"/>
  <c r="L36" i="106"/>
  <c r="L43" i="110" s="1"/>
  <c r="AA88" i="28"/>
  <c r="AA89" i="28" s="1"/>
  <c r="BG38" i="87"/>
  <c r="BJ38" i="87"/>
  <c r="AB46" i="87"/>
  <c r="AB55" i="87" s="1"/>
  <c r="AO14" i="110" s="1"/>
  <c r="AB71" i="87"/>
  <c r="AO28" i="110" s="1"/>
  <c r="BG33" i="87"/>
  <c r="BJ33" i="87"/>
  <c r="BD13" i="110"/>
  <c r="AB56" i="89"/>
  <c r="BC15" i="110" s="1"/>
  <c r="AB14" i="110"/>
  <c r="AA72" i="87"/>
  <c r="AN29" i="110" s="1"/>
  <c r="AA72" i="93"/>
  <c r="CD29" i="110" s="1"/>
  <c r="AB53" i="87"/>
  <c r="AB69" i="87" s="1"/>
  <c r="AB83" i="87" s="1"/>
  <c r="AB97" i="87" s="1"/>
  <c r="AB111" i="87" s="1"/>
  <c r="AA69" i="87"/>
  <c r="AA83" i="87" s="1"/>
  <c r="AA97" i="87" s="1"/>
  <c r="AA111" i="87" s="1"/>
  <c r="AC33" i="87"/>
  <c r="BJ37" i="87"/>
  <c r="BG37" i="87"/>
  <c r="BJ38" i="91"/>
  <c r="BG38" i="91"/>
  <c r="BJ35" i="91"/>
  <c r="BG35" i="91"/>
  <c r="BJ34" i="93"/>
  <c r="BG34" i="93"/>
  <c r="AC29" i="87"/>
  <c r="L20" i="106"/>
  <c r="L27" i="110" s="1"/>
  <c r="AA56" i="93"/>
  <c r="CD15" i="110" s="1"/>
  <c r="AC39" i="87"/>
  <c r="AB70" i="87"/>
  <c r="AO27" i="110" s="1"/>
  <c r="AB30" i="87"/>
  <c r="AB54" i="87" s="1"/>
  <c r="AO13" i="110" s="1"/>
  <c r="BJ20" i="87"/>
  <c r="BJ41" i="87"/>
  <c r="BG41" i="87"/>
  <c r="BG36" i="87"/>
  <c r="BJ36" i="87"/>
  <c r="AB27" i="110"/>
  <c r="AB72" i="28"/>
  <c r="AA29" i="110" s="1"/>
  <c r="AC23" i="91"/>
  <c r="BJ42" i="91"/>
  <c r="BG42" i="91"/>
  <c r="BG39" i="91"/>
  <c r="BJ39" i="91"/>
  <c r="AB46" i="93"/>
  <c r="AB55" i="93" s="1"/>
  <c r="CE14" i="110" s="1"/>
  <c r="AB71" i="93"/>
  <c r="CE28" i="110" s="1"/>
  <c r="BJ33" i="93"/>
  <c r="BG33" i="93"/>
  <c r="BJ38" i="93"/>
  <c r="BG38" i="93"/>
  <c r="BG40" i="87"/>
  <c r="BJ40" i="87"/>
  <c r="AB56" i="28"/>
  <c r="AA15" i="110" s="1"/>
  <c r="AC36" i="87"/>
  <c r="BG37" i="91"/>
  <c r="BJ37" i="91"/>
  <c r="AA74" i="89"/>
  <c r="AA75" i="89" s="1"/>
  <c r="BJ36" i="93"/>
  <c r="BG36" i="93"/>
  <c r="BJ37" i="93"/>
  <c r="BG37" i="93"/>
  <c r="BJ42" i="93"/>
  <c r="BG42" i="93"/>
  <c r="AC37" i="93"/>
  <c r="AC42" i="93"/>
  <c r="AC26" i="91"/>
  <c r="AC20" i="93"/>
  <c r="AC21" i="91"/>
  <c r="AC54" i="89"/>
  <c r="R54" i="89" s="1"/>
  <c r="BJ41" i="91"/>
  <c r="BG41" i="91"/>
  <c r="BG40" i="93"/>
  <c r="BJ40" i="93"/>
  <c r="BJ41" i="93"/>
  <c r="BG41" i="93"/>
  <c r="AC26" i="87"/>
  <c r="BG34" i="87"/>
  <c r="BJ34" i="87"/>
  <c r="AA72" i="91"/>
  <c r="BP29" i="110" s="1"/>
  <c r="AB70" i="91"/>
  <c r="BQ27" i="110" s="1"/>
  <c r="AB30" i="91"/>
  <c r="AB54" i="91" s="1"/>
  <c r="BQ13" i="110" s="1"/>
  <c r="BJ20" i="91"/>
  <c r="AB71" i="91"/>
  <c r="BQ28" i="110" s="1"/>
  <c r="AB46" i="91"/>
  <c r="AB55" i="91" s="1"/>
  <c r="BQ14" i="110" s="1"/>
  <c r="BG33" i="91"/>
  <c r="BJ33" i="91"/>
  <c r="BJ39" i="93"/>
  <c r="BG39" i="93"/>
  <c r="AA58" i="28"/>
  <c r="AA59" i="28" s="1"/>
  <c r="CA32" i="110"/>
  <c r="W79" i="91"/>
  <c r="V36" i="110"/>
  <c r="AH22" i="110"/>
  <c r="D22" i="110"/>
  <c r="G11" i="106"/>
  <c r="G18" i="110" s="1"/>
  <c r="X79" i="89"/>
  <c r="AY36" i="110"/>
  <c r="AB43" i="110"/>
  <c r="V22" i="110"/>
  <c r="AB71" i="110"/>
  <c r="J52" i="106"/>
  <c r="J59" i="110" s="1"/>
  <c r="H25" i="106"/>
  <c r="H32" i="110" s="1"/>
  <c r="BD60" i="110"/>
  <c r="CA18" i="110"/>
  <c r="BM32" i="110"/>
  <c r="I24" i="106"/>
  <c r="I31" i="110" s="1"/>
  <c r="CF60" i="110"/>
  <c r="AM64" i="110"/>
  <c r="AP64" i="110" s="1"/>
  <c r="Y74" i="87"/>
  <c r="Y75" i="87" s="1"/>
  <c r="AC55" i="89"/>
  <c r="R55" i="89" s="1"/>
  <c r="BD14" i="110"/>
  <c r="AW22" i="110"/>
  <c r="Y74" i="91"/>
  <c r="Y75" i="91" s="1"/>
  <c r="BX22" i="110"/>
  <c r="BR60" i="110"/>
  <c r="W63" i="91"/>
  <c r="BL22" i="110"/>
  <c r="BR59" i="110"/>
  <c r="AJ36" i="110"/>
  <c r="Y74" i="93"/>
  <c r="Y75" i="93" s="1"/>
  <c r="W62" i="87"/>
  <c r="AJ21" i="110" s="1"/>
  <c r="AJ50" i="110"/>
  <c r="BA64" i="110"/>
  <c r="BD64" i="110" s="1"/>
  <c r="X18" i="110"/>
  <c r="X60" i="110"/>
  <c r="W63" i="28"/>
  <c r="F43" i="106"/>
  <c r="F50" i="110"/>
  <c r="V50" i="110"/>
  <c r="N35" i="106"/>
  <c r="N42" i="110"/>
  <c r="N63" i="106"/>
  <c r="N70" i="110"/>
  <c r="F14" i="106"/>
  <c r="F21" i="110" s="1"/>
  <c r="AC114" i="28"/>
  <c r="R114" i="28" s="1"/>
  <c r="AC54" i="28"/>
  <c r="R54" i="28" s="1"/>
  <c r="J6" i="106"/>
  <c r="J13" i="110" s="1"/>
  <c r="H39" i="106"/>
  <c r="H46" i="110" s="1"/>
  <c r="Z54" i="93"/>
  <c r="CC13" i="110" s="1"/>
  <c r="K34" i="106"/>
  <c r="K41" i="110" s="1"/>
  <c r="AC84" i="87"/>
  <c r="R84" i="87" s="1"/>
  <c r="J66" i="106"/>
  <c r="J73" i="110" s="1"/>
  <c r="I67" i="106"/>
  <c r="I74" i="110" s="1"/>
  <c r="I53" i="106"/>
  <c r="I60" i="110" s="1"/>
  <c r="Z116" i="28"/>
  <c r="Z117" i="28" s="1"/>
  <c r="K64" i="106"/>
  <c r="K71" i="110" s="1"/>
  <c r="W93" i="87"/>
  <c r="Z107" i="91"/>
  <c r="X74" i="110"/>
  <c r="Z56" i="89"/>
  <c r="BA15" i="110" s="1"/>
  <c r="Y58" i="91"/>
  <c r="Z55" i="91"/>
  <c r="BO14" i="110" s="1"/>
  <c r="Z55" i="87"/>
  <c r="AM14" i="110" s="1"/>
  <c r="Z55" i="93"/>
  <c r="CC14" i="110" s="1"/>
  <c r="Y58" i="93"/>
  <c r="Y59" i="93" s="1"/>
  <c r="Z107" i="89"/>
  <c r="H42" i="106"/>
  <c r="H49" i="110" s="1"/>
  <c r="W79" i="87"/>
  <c r="D15" i="106"/>
  <c r="Z86" i="87"/>
  <c r="AM43" i="110" s="1"/>
  <c r="Z88" i="28"/>
  <c r="Z89" i="28" s="1"/>
  <c r="Z74" i="89"/>
  <c r="Z75" i="89" s="1"/>
  <c r="X78" i="87"/>
  <c r="AK35" i="110" s="1"/>
  <c r="U63" i="87"/>
  <c r="Z74" i="28"/>
  <c r="Z75" i="28" s="1"/>
  <c r="W79" i="28"/>
  <c r="J22" i="106"/>
  <c r="J29" i="110" s="1"/>
  <c r="K20" i="106"/>
  <c r="K27" i="110" s="1"/>
  <c r="K21" i="106"/>
  <c r="K28" i="110" s="1"/>
  <c r="Z72" i="91"/>
  <c r="BO29" i="110" s="1"/>
  <c r="W93" i="28"/>
  <c r="Z72" i="93"/>
  <c r="CC29" i="110" s="1"/>
  <c r="Z72" i="87"/>
  <c r="AM29" i="110" s="1"/>
  <c r="Y56" i="87"/>
  <c r="AL15" i="110" s="1"/>
  <c r="Z56" i="28"/>
  <c r="Y15" i="110" s="1"/>
  <c r="AE46" i="89"/>
  <c r="AF43" i="89"/>
  <c r="AE46" i="87"/>
  <c r="AF43" i="87"/>
  <c r="AE46" i="91"/>
  <c r="AF43" i="91"/>
  <c r="AE46" i="93"/>
  <c r="AF43" i="93"/>
  <c r="BD46" i="93"/>
  <c r="BA30" i="93"/>
  <c r="BD30" i="93"/>
  <c r="BD46" i="91"/>
  <c r="BD30" i="91"/>
  <c r="BA30" i="91"/>
  <c r="BA30" i="87"/>
  <c r="BD30" i="87"/>
  <c r="BD46" i="87"/>
  <c r="C8" i="112" l="1"/>
  <c r="AK50" i="110"/>
  <c r="Y31" i="110"/>
  <c r="Y32" i="110"/>
  <c r="Y45" i="110"/>
  <c r="AB45" i="110" s="1"/>
  <c r="Z60" i="110"/>
  <c r="L66" i="106"/>
  <c r="L73" i="110" s="1"/>
  <c r="Y59" i="110"/>
  <c r="AB59" i="110" s="1"/>
  <c r="Y60" i="110"/>
  <c r="AK17" i="110"/>
  <c r="X59" i="87"/>
  <c r="AK18" i="110" s="1"/>
  <c r="BN17" i="110"/>
  <c r="Y59" i="91"/>
  <c r="BN18" i="110" s="1"/>
  <c r="BM17" i="110"/>
  <c r="X59" i="91"/>
  <c r="BM18" i="110" s="1"/>
  <c r="BN31" i="110"/>
  <c r="BB31" i="110"/>
  <c r="BB32" i="110"/>
  <c r="BB17" i="110"/>
  <c r="AA59" i="89"/>
  <c r="BB18" i="110" s="1"/>
  <c r="BA31" i="110"/>
  <c r="BA32" i="110"/>
  <c r="AL31" i="110"/>
  <c r="AL45" i="110"/>
  <c r="AL46" i="110"/>
  <c r="H11" i="106"/>
  <c r="H18" i="110" s="1"/>
  <c r="BZ22" i="110"/>
  <c r="N50" i="106"/>
  <c r="L52" i="106"/>
  <c r="L59" i="110" s="1"/>
  <c r="Z59" i="110"/>
  <c r="W79" i="93"/>
  <c r="V2" i="107" s="1"/>
  <c r="AP2" i="107"/>
  <c r="K52" i="106"/>
  <c r="K59" i="110" s="1"/>
  <c r="N59" i="110" s="1"/>
  <c r="H28" i="106"/>
  <c r="H35" i="110" s="1"/>
  <c r="H36" i="110" s="1"/>
  <c r="R24" i="93"/>
  <c r="AA120" i="28"/>
  <c r="Z77" i="110" s="1"/>
  <c r="I10" i="106"/>
  <c r="I17" i="110" s="1"/>
  <c r="G29" i="106"/>
  <c r="Z73" i="110"/>
  <c r="W63" i="93"/>
  <c r="X79" i="28"/>
  <c r="J38" i="106"/>
  <c r="J45" i="110" s="1"/>
  <c r="H71" i="106"/>
  <c r="W77" i="110"/>
  <c r="W78" i="110" s="1"/>
  <c r="I70" i="106"/>
  <c r="I77" i="110" s="1"/>
  <c r="I78" i="110" s="1"/>
  <c r="X93" i="87"/>
  <c r="I39" i="106"/>
  <c r="I46" i="110" s="1"/>
  <c r="X62" i="28"/>
  <c r="W21" i="110" s="1"/>
  <c r="W22" i="110" s="1"/>
  <c r="Y120" i="28"/>
  <c r="J70" i="106" s="1"/>
  <c r="Y62" i="28"/>
  <c r="X21" i="110" s="1"/>
  <c r="X22" i="110" s="1"/>
  <c r="Z106" i="28"/>
  <c r="Y63" i="110" s="1"/>
  <c r="CC64" i="110"/>
  <c r="CF64" i="110" s="1"/>
  <c r="Z107" i="93"/>
  <c r="CB31" i="110"/>
  <c r="CB17" i="110"/>
  <c r="BY21" i="110"/>
  <c r="BY22" i="110" s="1"/>
  <c r="G14" i="106"/>
  <c r="G21" i="110" s="1"/>
  <c r="G22" i="110" s="1"/>
  <c r="X78" i="93"/>
  <c r="AB106" i="93"/>
  <c r="AB107" i="93" s="1"/>
  <c r="X62" i="93"/>
  <c r="X63" i="93" s="1"/>
  <c r="I42" i="106"/>
  <c r="I49" i="110" s="1"/>
  <c r="X93" i="28"/>
  <c r="Z45" i="110"/>
  <c r="Y92" i="28"/>
  <c r="X49" i="110" s="1"/>
  <c r="X50" i="110" s="1"/>
  <c r="Z31" i="110"/>
  <c r="Z17" i="110"/>
  <c r="H63" i="110"/>
  <c r="W63" i="110"/>
  <c r="W64" i="110" s="1"/>
  <c r="I56" i="106"/>
  <c r="I63" i="110" s="1"/>
  <c r="I64" i="110" s="1"/>
  <c r="Y78" i="28"/>
  <c r="X35" i="110" s="1"/>
  <c r="X36" i="110" s="1"/>
  <c r="V64" i="110"/>
  <c r="G78" i="110"/>
  <c r="Y106" i="28"/>
  <c r="Y73" i="110"/>
  <c r="AB73" i="110" s="1"/>
  <c r="AA106" i="28"/>
  <c r="AB107" i="87"/>
  <c r="AC107" i="87" s="1"/>
  <c r="R107" i="87" s="1"/>
  <c r="AO60" i="110"/>
  <c r="AO64" i="110" s="1"/>
  <c r="BG30" i="89"/>
  <c r="R30" i="89"/>
  <c r="AF24" i="91"/>
  <c r="R24" i="91"/>
  <c r="AF37" i="93"/>
  <c r="R37" i="93"/>
  <c r="AF23" i="91"/>
  <c r="R23" i="91"/>
  <c r="AF35" i="87"/>
  <c r="AF27" i="87"/>
  <c r="R27" i="87"/>
  <c r="AF23" i="87"/>
  <c r="R23" i="87"/>
  <c r="AF26" i="93"/>
  <c r="R26" i="93"/>
  <c r="AF25" i="87"/>
  <c r="R25" i="87"/>
  <c r="AF36" i="87"/>
  <c r="R36" i="87"/>
  <c r="AF39" i="87"/>
  <c r="R39" i="87"/>
  <c r="AF21" i="93"/>
  <c r="R21" i="93"/>
  <c r="AF23" i="93"/>
  <c r="R23" i="93"/>
  <c r="AF22" i="93"/>
  <c r="R22" i="93"/>
  <c r="AF28" i="87"/>
  <c r="R28" i="87"/>
  <c r="AF25" i="91"/>
  <c r="R25" i="91"/>
  <c r="AF27" i="93"/>
  <c r="R27" i="93"/>
  <c r="AF22" i="91"/>
  <c r="R22" i="91"/>
  <c r="AF25" i="93"/>
  <c r="R25" i="93"/>
  <c r="AF26" i="87"/>
  <c r="R26" i="87"/>
  <c r="AF21" i="91"/>
  <c r="R21" i="91"/>
  <c r="AF29" i="91"/>
  <c r="R29" i="91"/>
  <c r="AF21" i="87"/>
  <c r="R21" i="87"/>
  <c r="AF24" i="87"/>
  <c r="R24" i="87"/>
  <c r="AF28" i="93"/>
  <c r="R28" i="93"/>
  <c r="AF20" i="93"/>
  <c r="R20" i="93"/>
  <c r="AF29" i="87"/>
  <c r="R29" i="87"/>
  <c r="AF29" i="93"/>
  <c r="R29" i="93"/>
  <c r="AF28" i="91"/>
  <c r="R28" i="91"/>
  <c r="AF27" i="91"/>
  <c r="R27" i="91"/>
  <c r="BG46" i="89"/>
  <c r="R46" i="89"/>
  <c r="AF42" i="93"/>
  <c r="R42" i="93"/>
  <c r="AF26" i="91"/>
  <c r="R26" i="91"/>
  <c r="AF33" i="87"/>
  <c r="R33" i="87"/>
  <c r="AF22" i="87"/>
  <c r="R22" i="87"/>
  <c r="AB116" i="28"/>
  <c r="AB117" i="28" s="1"/>
  <c r="M64" i="106"/>
  <c r="M71" i="110" s="1"/>
  <c r="AC103" i="89"/>
  <c r="R103" i="89" s="1"/>
  <c r="AF46" i="28"/>
  <c r="BJ46" i="28" s="1"/>
  <c r="R46" i="28"/>
  <c r="AF30" i="89"/>
  <c r="BJ30" i="89" s="1"/>
  <c r="AC86" i="28"/>
  <c r="R86" i="28" s="1"/>
  <c r="AC103" i="91"/>
  <c r="R103" i="91" s="1"/>
  <c r="AC46" i="87"/>
  <c r="AC46" i="91"/>
  <c r="AC30" i="93"/>
  <c r="AC54" i="87"/>
  <c r="R54" i="87" s="1"/>
  <c r="AC30" i="87"/>
  <c r="AC72" i="89"/>
  <c r="R72" i="89" s="1"/>
  <c r="AC46" i="93"/>
  <c r="AC103" i="93"/>
  <c r="R103" i="93" s="1"/>
  <c r="BQ64" i="110"/>
  <c r="BR28" i="110"/>
  <c r="BC64" i="110"/>
  <c r="BG30" i="28"/>
  <c r="AF30" i="28"/>
  <c r="BJ30" i="28" s="1"/>
  <c r="AP28" i="110"/>
  <c r="AC72" i="28"/>
  <c r="R72" i="28" s="1"/>
  <c r="AB29" i="110"/>
  <c r="CF28" i="110"/>
  <c r="AC103" i="87"/>
  <c r="R103" i="87" s="1"/>
  <c r="AB107" i="91"/>
  <c r="AC107" i="91" s="1"/>
  <c r="R107" i="91" s="1"/>
  <c r="AB107" i="89"/>
  <c r="AC107" i="89" s="1"/>
  <c r="R107" i="89" s="1"/>
  <c r="AC71" i="87"/>
  <c r="R71" i="87" s="1"/>
  <c r="L8" i="106"/>
  <c r="L15" i="110" s="1"/>
  <c r="AB13" i="110"/>
  <c r="L22" i="106"/>
  <c r="L29" i="110" s="1"/>
  <c r="M7" i="106"/>
  <c r="M14" i="110" s="1"/>
  <c r="M21" i="106"/>
  <c r="M6" i="106"/>
  <c r="M13" i="110" s="1"/>
  <c r="BR27" i="110"/>
  <c r="AB72" i="91"/>
  <c r="BQ29" i="110" s="1"/>
  <c r="AB58" i="28"/>
  <c r="AB59" i="28" s="1"/>
  <c r="AA74" i="91"/>
  <c r="AA75" i="91" s="1"/>
  <c r="BD15" i="110"/>
  <c r="AB58" i="89"/>
  <c r="Z46" i="110"/>
  <c r="L38" i="106"/>
  <c r="L45" i="110" s="1"/>
  <c r="AA58" i="91"/>
  <c r="AC54" i="93"/>
  <c r="R54" i="93" s="1"/>
  <c r="AC71" i="91"/>
  <c r="R71" i="91" s="1"/>
  <c r="AB74" i="28"/>
  <c r="AB75" i="28" s="1"/>
  <c r="AP13" i="110"/>
  <c r="AB56" i="87"/>
  <c r="AO15" i="110" s="1"/>
  <c r="CF27" i="110"/>
  <c r="AB72" i="93"/>
  <c r="CE29" i="110" s="1"/>
  <c r="BD29" i="110"/>
  <c r="AB74" i="89"/>
  <c r="AB75" i="89" s="1"/>
  <c r="M20" i="106"/>
  <c r="AP27" i="110"/>
  <c r="AB72" i="87"/>
  <c r="AB56" i="93"/>
  <c r="CE15" i="110" s="1"/>
  <c r="AC70" i="93"/>
  <c r="R70" i="93" s="1"/>
  <c r="AB102" i="28"/>
  <c r="AB103" i="28" s="1"/>
  <c r="M50" i="106"/>
  <c r="M57" i="110" s="1"/>
  <c r="AC100" i="28"/>
  <c r="R100" i="28" s="1"/>
  <c r="AC30" i="91"/>
  <c r="AA74" i="93"/>
  <c r="AA75" i="93" s="1"/>
  <c r="AA58" i="87"/>
  <c r="AB88" i="28"/>
  <c r="AB89" i="28" s="1"/>
  <c r="M36" i="106"/>
  <c r="M43" i="110" s="1"/>
  <c r="BR13" i="110"/>
  <c r="AB56" i="91"/>
  <c r="BQ15" i="110" s="1"/>
  <c r="AA58" i="93"/>
  <c r="AA59" i="93" s="1"/>
  <c r="Z32" i="110"/>
  <c r="AC54" i="91"/>
  <c r="R54" i="91" s="1"/>
  <c r="AC71" i="93"/>
  <c r="R71" i="93" s="1"/>
  <c r="Z18" i="110"/>
  <c r="AC70" i="87"/>
  <c r="R70" i="87" s="1"/>
  <c r="AC70" i="91"/>
  <c r="R70" i="91" s="1"/>
  <c r="AA74" i="87"/>
  <c r="AA75" i="87" s="1"/>
  <c r="BN32" i="110"/>
  <c r="CB32" i="110"/>
  <c r="N41" i="110"/>
  <c r="AP14" i="110"/>
  <c r="AZ36" i="110"/>
  <c r="J53" i="106"/>
  <c r="J60" i="110" s="1"/>
  <c r="X79" i="91"/>
  <c r="BM36" i="110"/>
  <c r="I25" i="106"/>
  <c r="I32" i="110" s="1"/>
  <c r="Y79" i="89"/>
  <c r="BO64" i="110"/>
  <c r="BR64" i="110" s="1"/>
  <c r="W63" i="87"/>
  <c r="H14" i="106"/>
  <c r="H21" i="110" s="1"/>
  <c r="AL32" i="110"/>
  <c r="AC86" i="87"/>
  <c r="R86" i="87" s="1"/>
  <c r="AP43" i="110"/>
  <c r="AJ22" i="110"/>
  <c r="AC55" i="93"/>
  <c r="R55" i="93" s="1"/>
  <c r="CF14" i="110"/>
  <c r="CB18" i="110"/>
  <c r="AC55" i="91"/>
  <c r="R55" i="91" s="1"/>
  <c r="BR14" i="110"/>
  <c r="J24" i="106"/>
  <c r="J31" i="110" s="1"/>
  <c r="Y63" i="89"/>
  <c r="AZ22" i="110"/>
  <c r="Z58" i="89"/>
  <c r="F15" i="106"/>
  <c r="N34" i="106"/>
  <c r="H50" i="110"/>
  <c r="N64" i="106"/>
  <c r="N71" i="110"/>
  <c r="K6" i="106"/>
  <c r="K13" i="110" s="1"/>
  <c r="H43" i="106"/>
  <c r="F22" i="110"/>
  <c r="AC56" i="28"/>
  <c r="R56" i="28" s="1"/>
  <c r="J8" i="106"/>
  <c r="J15" i="110" s="1"/>
  <c r="AC55" i="87"/>
  <c r="R55" i="87" s="1"/>
  <c r="AC116" i="28"/>
  <c r="J67" i="106"/>
  <c r="J74" i="110" s="1"/>
  <c r="AC56" i="89"/>
  <c r="R56" i="89" s="1"/>
  <c r="Y74" i="110"/>
  <c r="K66" i="106"/>
  <c r="K73" i="110" s="1"/>
  <c r="Z56" i="91"/>
  <c r="BO15" i="110" s="1"/>
  <c r="Z56" i="87"/>
  <c r="AM15" i="110" s="1"/>
  <c r="Z56" i="93"/>
  <c r="CC15" i="110" s="1"/>
  <c r="Z74" i="87"/>
  <c r="Z75" i="87" s="1"/>
  <c r="K7" i="106"/>
  <c r="K14" i="110" s="1"/>
  <c r="Z88" i="87"/>
  <c r="Z89" i="87" s="1"/>
  <c r="K36" i="106"/>
  <c r="K43" i="110" s="1"/>
  <c r="Z74" i="91"/>
  <c r="Z75" i="91" s="1"/>
  <c r="Z74" i="93"/>
  <c r="Z75" i="93" s="1"/>
  <c r="X62" i="87"/>
  <c r="AK21" i="110" s="1"/>
  <c r="X79" i="87"/>
  <c r="Y78" i="87"/>
  <c r="AL35" i="110" s="1"/>
  <c r="K22" i="106"/>
  <c r="K29" i="110" s="1"/>
  <c r="Z58" i="28"/>
  <c r="X63" i="89"/>
  <c r="Y58" i="87"/>
  <c r="AF46" i="89"/>
  <c r="BJ46" i="89" s="1"/>
  <c r="BM22" i="110" l="1"/>
  <c r="AL50" i="110"/>
  <c r="L53" i="106"/>
  <c r="L60" i="110" s="1"/>
  <c r="AA107" i="28"/>
  <c r="AJ2" i="107" s="1"/>
  <c r="Y17" i="110"/>
  <c r="Z59" i="28"/>
  <c r="Y18" i="110" s="1"/>
  <c r="BP31" i="110"/>
  <c r="BP32" i="110"/>
  <c r="AM31" i="110"/>
  <c r="AM32" i="110"/>
  <c r="AN31" i="110"/>
  <c r="AN32" i="110"/>
  <c r="BC31" i="110"/>
  <c r="AN17" i="110"/>
  <c r="AA59" i="87"/>
  <c r="AN18" i="110" s="1"/>
  <c r="BP17" i="110"/>
  <c r="AA59" i="91"/>
  <c r="BP18" i="110" s="1"/>
  <c r="AM45" i="110"/>
  <c r="AM46" i="110"/>
  <c r="AL17" i="110"/>
  <c r="Y59" i="87"/>
  <c r="AL18" i="110" s="1"/>
  <c r="BA17" i="110"/>
  <c r="Z59" i="89"/>
  <c r="BA18" i="110" s="1"/>
  <c r="BC17" i="110"/>
  <c r="AB59" i="89"/>
  <c r="BC18" i="110" s="1"/>
  <c r="BO31" i="110"/>
  <c r="BO32" i="110"/>
  <c r="Y64" i="110"/>
  <c r="AQ2" i="107"/>
  <c r="K53" i="106"/>
  <c r="K60" i="110" s="1"/>
  <c r="N52" i="106"/>
  <c r="H29" i="106"/>
  <c r="I71" i="106"/>
  <c r="J39" i="106"/>
  <c r="J46" i="110" s="1"/>
  <c r="L67" i="106"/>
  <c r="L74" i="110" s="1"/>
  <c r="Z74" i="110"/>
  <c r="Z78" i="110" s="1"/>
  <c r="AA121" i="28"/>
  <c r="L70" i="106"/>
  <c r="L77" i="110" s="1"/>
  <c r="Y93" i="87"/>
  <c r="X63" i="91"/>
  <c r="I11" i="106"/>
  <c r="I18" i="110" s="1"/>
  <c r="X77" i="110"/>
  <c r="X78" i="110" s="1"/>
  <c r="G15" i="106"/>
  <c r="Y121" i="28"/>
  <c r="Y63" i="28"/>
  <c r="X63" i="28"/>
  <c r="K56" i="106"/>
  <c r="K63" i="110" s="1"/>
  <c r="I50" i="110"/>
  <c r="AC107" i="93"/>
  <c r="R107" i="93" s="1"/>
  <c r="Z107" i="28"/>
  <c r="AI2" i="107" s="1"/>
  <c r="CD17" i="110"/>
  <c r="CA35" i="110"/>
  <c r="CA36" i="110" s="1"/>
  <c r="I28" i="106"/>
  <c r="I35" i="110" s="1"/>
  <c r="I36" i="110" s="1"/>
  <c r="Y62" i="93"/>
  <c r="CB21" i="110" s="1"/>
  <c r="CB22" i="110" s="1"/>
  <c r="X79" i="93"/>
  <c r="W2" i="107" s="1"/>
  <c r="CA21" i="110"/>
  <c r="CA22" i="110" s="1"/>
  <c r="Y78" i="93"/>
  <c r="CB35" i="110" s="1"/>
  <c r="CB36" i="110" s="1"/>
  <c r="CC31" i="110"/>
  <c r="CD31" i="110"/>
  <c r="CE63" i="110"/>
  <c r="CE64" i="110" s="1"/>
  <c r="AC106" i="93"/>
  <c r="R106" i="93" s="1"/>
  <c r="AC72" i="87"/>
  <c r="R72" i="87" s="1"/>
  <c r="AO29" i="110"/>
  <c r="AP29" i="110" s="1"/>
  <c r="I43" i="106"/>
  <c r="R116" i="28"/>
  <c r="I57" i="106"/>
  <c r="J42" i="106"/>
  <c r="J49" i="110" s="1"/>
  <c r="Y93" i="28"/>
  <c r="N20" i="106"/>
  <c r="M27" i="110"/>
  <c r="N27" i="110" s="1"/>
  <c r="AA17" i="110"/>
  <c r="AA73" i="110"/>
  <c r="X63" i="110"/>
  <c r="X64" i="110" s="1"/>
  <c r="J56" i="106"/>
  <c r="J63" i="110" s="1"/>
  <c r="AA92" i="28"/>
  <c r="AA31" i="110"/>
  <c r="AB31" i="110" s="1"/>
  <c r="J77" i="110"/>
  <c r="J78" i="110" s="1"/>
  <c r="AA59" i="110"/>
  <c r="Y107" i="28"/>
  <c r="AH2" i="107" s="1"/>
  <c r="AA78" i="28"/>
  <c r="AA79" i="28" s="1"/>
  <c r="AA45" i="110"/>
  <c r="Z63" i="110"/>
  <c r="Z64" i="110" s="1"/>
  <c r="L56" i="106"/>
  <c r="L63" i="110" s="1"/>
  <c r="H64" i="110"/>
  <c r="Y79" i="28"/>
  <c r="Y46" i="110"/>
  <c r="Z92" i="28"/>
  <c r="Z93" i="28" s="1"/>
  <c r="Z120" i="28"/>
  <c r="AA62" i="28"/>
  <c r="AA63" i="28" s="1"/>
  <c r="M28" i="110"/>
  <c r="N28" i="110" s="1"/>
  <c r="BG46" i="87"/>
  <c r="R46" i="87"/>
  <c r="BG46" i="93"/>
  <c r="R46" i="93"/>
  <c r="BG30" i="91"/>
  <c r="R30" i="91"/>
  <c r="BG30" i="87"/>
  <c r="R30" i="87"/>
  <c r="AF46" i="87"/>
  <c r="BJ46" i="87" s="1"/>
  <c r="BG30" i="93"/>
  <c r="R30" i="93"/>
  <c r="BG46" i="91"/>
  <c r="R46" i="91"/>
  <c r="M66" i="106"/>
  <c r="M73" i="110" s="1"/>
  <c r="AB120" i="28"/>
  <c r="AF30" i="87"/>
  <c r="BJ30" i="87" s="1"/>
  <c r="AF30" i="93"/>
  <c r="BJ30" i="93" s="1"/>
  <c r="AF46" i="91"/>
  <c r="BJ46" i="91" s="1"/>
  <c r="AF30" i="91"/>
  <c r="BJ30" i="91" s="1"/>
  <c r="N21" i="106"/>
  <c r="AF46" i="93"/>
  <c r="BJ46" i="93" s="1"/>
  <c r="AC72" i="91"/>
  <c r="R72" i="91" s="1"/>
  <c r="AC74" i="28"/>
  <c r="R74" i="28" s="1"/>
  <c r="AC72" i="93"/>
  <c r="R72" i="93" s="1"/>
  <c r="BN36" i="110"/>
  <c r="AC88" i="28"/>
  <c r="R88" i="28" s="1"/>
  <c r="M22" i="106"/>
  <c r="CF13" i="110"/>
  <c r="L24" i="106"/>
  <c r="L31" i="110" s="1"/>
  <c r="BB36" i="110"/>
  <c r="M8" i="106"/>
  <c r="M15" i="110" s="1"/>
  <c r="CD32" i="110"/>
  <c r="AB58" i="93"/>
  <c r="AB59" i="93" s="1"/>
  <c r="BD31" i="110"/>
  <c r="BC32" i="110"/>
  <c r="AB58" i="91"/>
  <c r="CD18" i="110"/>
  <c r="AB74" i="87"/>
  <c r="AB75" i="87" s="1"/>
  <c r="CF29" i="110"/>
  <c r="AB74" i="93"/>
  <c r="AB75" i="93" s="1"/>
  <c r="L10" i="106"/>
  <c r="L17" i="110" s="1"/>
  <c r="AB15" i="110"/>
  <c r="AA18" i="110"/>
  <c r="L39" i="106"/>
  <c r="L46" i="110" s="1"/>
  <c r="M38" i="106"/>
  <c r="M45" i="110" s="1"/>
  <c r="AB92" i="28"/>
  <c r="AB58" i="87"/>
  <c r="AC74" i="89"/>
  <c r="R74" i="89" s="1"/>
  <c r="M52" i="106"/>
  <c r="M59" i="110" s="1"/>
  <c r="AA60" i="110"/>
  <c r="AC102" i="28"/>
  <c r="R102" i="28" s="1"/>
  <c r="AA79" i="89"/>
  <c r="AA63" i="89"/>
  <c r="BR29" i="110"/>
  <c r="AB74" i="91"/>
  <c r="AB75" i="91" s="1"/>
  <c r="AA32" i="110"/>
  <c r="BB22" i="110"/>
  <c r="Y79" i="91"/>
  <c r="AB74" i="110"/>
  <c r="Z58" i="87"/>
  <c r="AC58" i="89"/>
  <c r="N5" i="89" s="1"/>
  <c r="AC56" i="91"/>
  <c r="R56" i="91" s="1"/>
  <c r="H22" i="110"/>
  <c r="H15" i="106"/>
  <c r="J25" i="106"/>
  <c r="J32" i="110" s="1"/>
  <c r="AY22" i="110"/>
  <c r="AL36" i="110"/>
  <c r="AK22" i="110"/>
  <c r="Z58" i="91"/>
  <c r="Y63" i="91"/>
  <c r="BN22" i="110"/>
  <c r="AK36" i="110"/>
  <c r="AP45" i="110"/>
  <c r="AC56" i="93"/>
  <c r="R56" i="93" s="1"/>
  <c r="CF15" i="110"/>
  <c r="AC56" i="87"/>
  <c r="R56" i="87" s="1"/>
  <c r="AB60" i="110"/>
  <c r="J71" i="106"/>
  <c r="N66" i="106"/>
  <c r="N73" i="110"/>
  <c r="N7" i="106"/>
  <c r="N14" i="110"/>
  <c r="N6" i="106"/>
  <c r="N13" i="110"/>
  <c r="N36" i="106"/>
  <c r="N43" i="110"/>
  <c r="J10" i="106"/>
  <c r="J17" i="110" s="1"/>
  <c r="AC58" i="28"/>
  <c r="N5" i="28" s="1"/>
  <c r="K67" i="106"/>
  <c r="K74" i="110" s="1"/>
  <c r="AC117" i="28"/>
  <c r="R117" i="28" s="1"/>
  <c r="Z58" i="93"/>
  <c r="Z59" i="93" s="1"/>
  <c r="K8" i="106"/>
  <c r="K15" i="110" s="1"/>
  <c r="I14" i="106"/>
  <c r="I21" i="110" s="1"/>
  <c r="K38" i="106"/>
  <c r="K45" i="110" s="1"/>
  <c r="AC88" i="87"/>
  <c r="R88" i="87" s="1"/>
  <c r="Z79" i="89"/>
  <c r="CC32" i="110"/>
  <c r="K24" i="106"/>
  <c r="K31" i="110" s="1"/>
  <c r="Z78" i="28"/>
  <c r="Y35" i="110" s="1"/>
  <c r="Y79" i="87"/>
  <c r="Z78" i="87"/>
  <c r="AM35" i="110" s="1"/>
  <c r="X63" i="87"/>
  <c r="L64" i="110" l="1"/>
  <c r="AB17" i="110"/>
  <c r="BO17" i="110"/>
  <c r="Z59" i="91"/>
  <c r="BO18" i="110" s="1"/>
  <c r="BQ31" i="110"/>
  <c r="BR31" i="110" s="1"/>
  <c r="BQ32" i="110"/>
  <c r="AO17" i="110"/>
  <c r="AB59" i="87"/>
  <c r="AO18" i="110" s="1"/>
  <c r="AM17" i="110"/>
  <c r="Z59" i="87"/>
  <c r="AM18" i="110" s="1"/>
  <c r="AO31" i="110"/>
  <c r="AP31" i="110" s="1"/>
  <c r="AO32" i="110"/>
  <c r="BQ17" i="110"/>
  <c r="AB59" i="91"/>
  <c r="BQ18" i="110" s="1"/>
  <c r="AB64" i="110"/>
  <c r="N53" i="106"/>
  <c r="AR2" i="107"/>
  <c r="J50" i="110"/>
  <c r="L78" i="110"/>
  <c r="L71" i="106"/>
  <c r="I29" i="106"/>
  <c r="Y63" i="93"/>
  <c r="K57" i="106"/>
  <c r="N63" i="110"/>
  <c r="AA78" i="93"/>
  <c r="CD35" i="110" s="1"/>
  <c r="CD36" i="110" s="1"/>
  <c r="AB106" i="28"/>
  <c r="AA63" i="110" s="1"/>
  <c r="AA64" i="110" s="1"/>
  <c r="Y79" i="93"/>
  <c r="X2" i="107" s="1"/>
  <c r="J28" i="106"/>
  <c r="J35" i="110" s="1"/>
  <c r="J36" i="110" s="1"/>
  <c r="CE31" i="110"/>
  <c r="CF31" i="110" s="1"/>
  <c r="CC17" i="110"/>
  <c r="Z78" i="93"/>
  <c r="K28" i="106" s="1"/>
  <c r="K35" i="110" s="1"/>
  <c r="CE17" i="110"/>
  <c r="AA62" i="93"/>
  <c r="CD21" i="110" s="1"/>
  <c r="CD22" i="110" s="1"/>
  <c r="R58" i="89"/>
  <c r="R58" i="28"/>
  <c r="J43" i="106"/>
  <c r="J64" i="110"/>
  <c r="L57" i="106"/>
  <c r="J57" i="106"/>
  <c r="N56" i="106"/>
  <c r="AA77" i="110"/>
  <c r="M70" i="106"/>
  <c r="M77" i="110" s="1"/>
  <c r="AA49" i="110"/>
  <c r="M42" i="106"/>
  <c r="M49" i="110" s="1"/>
  <c r="Z49" i="110"/>
  <c r="Z50" i="110" s="1"/>
  <c r="L42" i="106"/>
  <c r="L49" i="110" s="1"/>
  <c r="L50" i="110" s="1"/>
  <c r="Z21" i="110"/>
  <c r="Z22" i="110" s="1"/>
  <c r="AB62" i="28"/>
  <c r="AB63" i="28" s="1"/>
  <c r="Y77" i="110"/>
  <c r="AB77" i="110" s="1"/>
  <c r="K70" i="106"/>
  <c r="K71" i="106" s="1"/>
  <c r="N71" i="106" s="1"/>
  <c r="AC120" i="28"/>
  <c r="R120" i="28" s="1"/>
  <c r="Z121" i="28"/>
  <c r="AC121" i="28" s="1"/>
  <c r="R121" i="28" s="1"/>
  <c r="AA93" i="28"/>
  <c r="AT2" i="107" s="1"/>
  <c r="Y49" i="110"/>
  <c r="AC92" i="28"/>
  <c r="R92" i="28" s="1"/>
  <c r="AB78" i="28"/>
  <c r="AB79" i="28" s="1"/>
  <c r="Z35" i="110"/>
  <c r="Z36" i="110" s="1"/>
  <c r="AB63" i="110"/>
  <c r="M29" i="110"/>
  <c r="N29" i="110" s="1"/>
  <c r="AB121" i="28"/>
  <c r="AA74" i="110"/>
  <c r="AC89" i="28"/>
  <c r="R89" i="28" s="1"/>
  <c r="AA46" i="110"/>
  <c r="M67" i="106"/>
  <c r="M74" i="110" s="1"/>
  <c r="BC22" i="110"/>
  <c r="AC74" i="87"/>
  <c r="R74" i="87" s="1"/>
  <c r="N22" i="106"/>
  <c r="AC74" i="91"/>
  <c r="R74" i="91" s="1"/>
  <c r="AB93" i="28"/>
  <c r="AU2" i="107" s="1"/>
  <c r="AC74" i="93"/>
  <c r="R74" i="93" s="1"/>
  <c r="BD32" i="110"/>
  <c r="AC75" i="28"/>
  <c r="AN36" i="110"/>
  <c r="BP36" i="110"/>
  <c r="BP22" i="110"/>
  <c r="AP15" i="110"/>
  <c r="BR15" i="110"/>
  <c r="AB79" i="89"/>
  <c r="AC79" i="89" s="1"/>
  <c r="R79" i="89" s="1"/>
  <c r="N4" i="89" s="1"/>
  <c r="M24" i="106"/>
  <c r="M31" i="110" s="1"/>
  <c r="AA79" i="91"/>
  <c r="L25" i="106"/>
  <c r="L32" i="110" s="1"/>
  <c r="AB63" i="89"/>
  <c r="AA63" i="87"/>
  <c r="CE18" i="110"/>
  <c r="AN22" i="110"/>
  <c r="AA63" i="91"/>
  <c r="M53" i="106"/>
  <c r="M60" i="110" s="1"/>
  <c r="AC103" i="28"/>
  <c r="R103" i="28" s="1"/>
  <c r="CE32" i="110"/>
  <c r="AC75" i="89"/>
  <c r="R75" i="89" s="1"/>
  <c r="L11" i="106"/>
  <c r="L18" i="110" s="1"/>
  <c r="M39" i="106"/>
  <c r="M46" i="110" s="1"/>
  <c r="M10" i="106"/>
  <c r="M17" i="110" s="1"/>
  <c r="AA79" i="87"/>
  <c r="AC58" i="87"/>
  <c r="N5" i="87" s="1"/>
  <c r="AB46" i="110"/>
  <c r="I22" i="110"/>
  <c r="BA36" i="110"/>
  <c r="AC58" i="91"/>
  <c r="N5" i="91" s="1"/>
  <c r="AC78" i="87"/>
  <c r="R78" i="87" s="1"/>
  <c r="AP35" i="110"/>
  <c r="BD17" i="110"/>
  <c r="Z63" i="89"/>
  <c r="BD18" i="110"/>
  <c r="AC59" i="89"/>
  <c r="AC89" i="87"/>
  <c r="R89" i="87" s="1"/>
  <c r="AC58" i="93"/>
  <c r="N5" i="93" s="1"/>
  <c r="N38" i="106"/>
  <c r="N45" i="110"/>
  <c r="N60" i="110"/>
  <c r="K64" i="110"/>
  <c r="N8" i="106"/>
  <c r="C9" i="112" s="1"/>
  <c r="N15" i="110"/>
  <c r="N74" i="110"/>
  <c r="N67" i="106"/>
  <c r="CC18" i="110"/>
  <c r="K10" i="106"/>
  <c r="K17" i="110" s="1"/>
  <c r="Y62" i="87"/>
  <c r="AL21" i="110" s="1"/>
  <c r="Z62" i="28"/>
  <c r="Y21" i="110" s="1"/>
  <c r="AC59" i="28"/>
  <c r="R59" i="28" s="1"/>
  <c r="I15" i="106"/>
  <c r="Z92" i="87"/>
  <c r="AM49" i="110" s="1"/>
  <c r="K39" i="106"/>
  <c r="K46" i="110" s="1"/>
  <c r="K25" i="106"/>
  <c r="K32" i="110" s="1"/>
  <c r="Z79" i="91"/>
  <c r="Z79" i="28"/>
  <c r="Z62" i="87"/>
  <c r="AM21" i="110" s="1"/>
  <c r="Z79" i="87"/>
  <c r="J11" i="106"/>
  <c r="J18" i="110" s="1"/>
  <c r="R75" i="28" l="1"/>
  <c r="AP17" i="110"/>
  <c r="L14" i="106"/>
  <c r="L21" i="110" s="1"/>
  <c r="L22" i="110" s="1"/>
  <c r="AA79" i="93"/>
  <c r="Z2" i="107" s="1"/>
  <c r="L28" i="106"/>
  <c r="L35" i="110" s="1"/>
  <c r="L36" i="110" s="1"/>
  <c r="J29" i="106"/>
  <c r="N57" i="106"/>
  <c r="AC106" i="28"/>
  <c r="R106" i="28" s="1"/>
  <c r="AB78" i="93"/>
  <c r="CE35" i="110" s="1"/>
  <c r="CE36" i="110" s="1"/>
  <c r="Z79" i="93"/>
  <c r="Y2" i="107" s="1"/>
  <c r="AB107" i="28"/>
  <c r="AK2" i="107" s="1"/>
  <c r="M56" i="106"/>
  <c r="M63" i="110" s="1"/>
  <c r="M64" i="110" s="1"/>
  <c r="AB62" i="93"/>
  <c r="CE21" i="110" s="1"/>
  <c r="CE22" i="110" s="1"/>
  <c r="AA63" i="93"/>
  <c r="CC35" i="110"/>
  <c r="Z62" i="93"/>
  <c r="K14" i="106" s="1"/>
  <c r="K21" i="110" s="1"/>
  <c r="AA78" i="110"/>
  <c r="R59" i="89"/>
  <c r="N64" i="110"/>
  <c r="R58" i="93"/>
  <c r="R58" i="87"/>
  <c r="R58" i="91"/>
  <c r="AC93" i="28"/>
  <c r="AC78" i="28"/>
  <c r="R78" i="28" s="1"/>
  <c r="AA50" i="110"/>
  <c r="Y78" i="110"/>
  <c r="AB78" i="110" s="1"/>
  <c r="K77" i="110"/>
  <c r="N70" i="106"/>
  <c r="L43" i="106"/>
  <c r="AA35" i="110"/>
  <c r="AA36" i="110" s="1"/>
  <c r="AA21" i="110"/>
  <c r="AA22" i="110" s="1"/>
  <c r="AB49" i="110"/>
  <c r="Y50" i="110"/>
  <c r="AB50" i="110" s="1"/>
  <c r="M78" i="110"/>
  <c r="M71" i="106"/>
  <c r="BQ22" i="110"/>
  <c r="AO22" i="110"/>
  <c r="N24" i="106"/>
  <c r="BC36" i="110"/>
  <c r="BD36" i="110" s="1"/>
  <c r="AO36" i="110"/>
  <c r="BQ36" i="110"/>
  <c r="AC63" i="89"/>
  <c r="N6" i="89" s="1"/>
  <c r="AC75" i="87"/>
  <c r="R75" i="87" s="1"/>
  <c r="AC79" i="28"/>
  <c r="R79" i="28" s="1"/>
  <c r="N4" i="28" s="1"/>
  <c r="BR32" i="110"/>
  <c r="AC75" i="91"/>
  <c r="R75" i="91" s="1"/>
  <c r="AC75" i="93"/>
  <c r="R75" i="93" s="1"/>
  <c r="M11" i="106"/>
  <c r="M18" i="110" s="1"/>
  <c r="M25" i="106"/>
  <c r="M32" i="110" s="1"/>
  <c r="AB79" i="87"/>
  <c r="AC79" i="87" s="1"/>
  <c r="R79" i="87" s="1"/>
  <c r="N4" i="87" s="1"/>
  <c r="AB63" i="91"/>
  <c r="AB79" i="91"/>
  <c r="AC79" i="91" s="1"/>
  <c r="R79" i="91" s="1"/>
  <c r="N4" i="91" s="1"/>
  <c r="AB63" i="87"/>
  <c r="AB32" i="110"/>
  <c r="N17" i="110"/>
  <c r="M43" i="106"/>
  <c r="N31" i="110"/>
  <c r="AC59" i="87"/>
  <c r="AB18" i="110"/>
  <c r="M50" i="110"/>
  <c r="Y36" i="110"/>
  <c r="AL22" i="110"/>
  <c r="AP49" i="110"/>
  <c r="Z63" i="91"/>
  <c r="AM36" i="110"/>
  <c r="BA22" i="110"/>
  <c r="BD22" i="110" s="1"/>
  <c r="CF17" i="110"/>
  <c r="BR17" i="110"/>
  <c r="AC59" i="91"/>
  <c r="BO36" i="110"/>
  <c r="AC59" i="93"/>
  <c r="AP46" i="110"/>
  <c r="N10" i="106"/>
  <c r="N39" i="106"/>
  <c r="N46" i="110"/>
  <c r="Y63" i="87"/>
  <c r="AC62" i="28"/>
  <c r="R62" i="28" s="1"/>
  <c r="K11" i="106"/>
  <c r="K18" i="110" s="1"/>
  <c r="Z93" i="87"/>
  <c r="AC92" i="87"/>
  <c r="R92" i="87" s="1"/>
  <c r="J14" i="106"/>
  <c r="J21" i="110" s="1"/>
  <c r="AC62" i="87"/>
  <c r="R62" i="87" s="1"/>
  <c r="K42" i="106"/>
  <c r="K49" i="110" s="1"/>
  <c r="K29" i="106"/>
  <c r="Z63" i="87"/>
  <c r="Z63" i="28"/>
  <c r="AC93" i="87" l="1"/>
  <c r="R93" i="87" s="1"/>
  <c r="AS2" i="107"/>
  <c r="AC107" i="28"/>
  <c r="R107" i="28" s="1"/>
  <c r="L15" i="106"/>
  <c r="L29" i="106"/>
  <c r="M28" i="106"/>
  <c r="M35" i="110" s="1"/>
  <c r="N35" i="110" s="1"/>
  <c r="AB79" i="93"/>
  <c r="AC79" i="93" s="1"/>
  <c r="D20" i="104" s="1"/>
  <c r="M57" i="106"/>
  <c r="Z63" i="93"/>
  <c r="CF35" i="110"/>
  <c r="AC78" i="93"/>
  <c r="R78" i="93" s="1"/>
  <c r="M14" i="106"/>
  <c r="M21" i="110" s="1"/>
  <c r="N21" i="110" s="1"/>
  <c r="CC36" i="110"/>
  <c r="CF36" i="110" s="1"/>
  <c r="CC21" i="110"/>
  <c r="CF21" i="110" s="1"/>
  <c r="AC62" i="93"/>
  <c r="R62" i="93" s="1"/>
  <c r="AB63" i="93"/>
  <c r="R59" i="93"/>
  <c r="R59" i="87"/>
  <c r="R59" i="91"/>
  <c r="R93" i="28"/>
  <c r="AB21" i="110"/>
  <c r="AB35" i="110"/>
  <c r="AB36" i="110"/>
  <c r="N77" i="110"/>
  <c r="K78" i="110"/>
  <c r="N78" i="110" s="1"/>
  <c r="BR18" i="110"/>
  <c r="AP18" i="110"/>
  <c r="AM22" i="110"/>
  <c r="AP22" i="110" s="1"/>
  <c r="R63" i="89"/>
  <c r="CF18" i="110"/>
  <c r="N25" i="106"/>
  <c r="AP32" i="110"/>
  <c r="CF32" i="110"/>
  <c r="AP36" i="110"/>
  <c r="BR36" i="110"/>
  <c r="AM50" i="110"/>
  <c r="AP50" i="110" s="1"/>
  <c r="AC63" i="91"/>
  <c r="AP21" i="110"/>
  <c r="Y22" i="110"/>
  <c r="AB22" i="110" s="1"/>
  <c r="BO22" i="110"/>
  <c r="BR22" i="110" s="1"/>
  <c r="K36" i="110"/>
  <c r="N11" i="106"/>
  <c r="C10" i="112" s="1"/>
  <c r="N18" i="110"/>
  <c r="N42" i="106"/>
  <c r="N49" i="110"/>
  <c r="J22" i="110"/>
  <c r="AC63" i="28"/>
  <c r="R63" i="28" s="1"/>
  <c r="J15" i="106"/>
  <c r="AC63" i="87"/>
  <c r="K43" i="106"/>
  <c r="N43" i="106" s="1"/>
  <c r="K15" i="106"/>
  <c r="D21" i="102" l="1"/>
  <c r="D21" i="104"/>
  <c r="D32" i="104" s="1"/>
  <c r="AA2" i="107"/>
  <c r="D20" i="102"/>
  <c r="N6" i="87"/>
  <c r="M29" i="106"/>
  <c r="N29" i="106" s="1"/>
  <c r="N28" i="106"/>
  <c r="R79" i="93"/>
  <c r="N4" i="93" s="1"/>
  <c r="AC63" i="93"/>
  <c r="N6" i="93" s="1"/>
  <c r="M15" i="106"/>
  <c r="N15" i="106" s="1"/>
  <c r="D2" i="106" s="1"/>
  <c r="CC22" i="110"/>
  <c r="CF22" i="110" s="1"/>
  <c r="M22" i="110"/>
  <c r="N14" i="106"/>
  <c r="C12" i="112" s="1"/>
  <c r="C14" i="112" s="1"/>
  <c r="R63" i="91"/>
  <c r="N6" i="91"/>
  <c r="N6" i="28"/>
  <c r="R63" i="87"/>
  <c r="N32" i="110"/>
  <c r="M36" i="110"/>
  <c r="N36" i="110" s="1"/>
  <c r="K50" i="110"/>
  <c r="N50" i="110" s="1"/>
  <c r="K22" i="110"/>
  <c r="D30" i="104" l="1"/>
  <c r="D31" i="104"/>
  <c r="D30" i="102"/>
  <c r="D19" i="104"/>
  <c r="D19" i="102"/>
  <c r="G24" i="102" s="1"/>
  <c r="R63" i="93"/>
  <c r="N22" i="110"/>
  <c r="G24" i="104" l="1"/>
  <c r="Q2" i="10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Allan Bøge Ochwat</author>
    <author>Helle S. Simonsen</author>
  </authors>
  <commentList>
    <comment ref="B5" authorId="0" shapeId="0" xr:uid="{A4B264E1-88E8-4BBA-B629-DA07C93E634C}">
      <text>
        <r>
          <rPr>
            <sz val="9"/>
            <color indexed="81"/>
            <rFont val="Tahoma"/>
            <family val="2"/>
          </rPr>
          <t>Add only a new grant source if you cannot find it in the list.</t>
        </r>
      </text>
    </comment>
    <comment ref="B6" authorId="0" shapeId="0" xr:uid="{F593AF8F-D75D-41D3-B7A0-7B34277B97BD}">
      <text>
        <r>
          <rPr>
            <sz val="9"/>
            <color indexed="81"/>
            <rFont val="Tahoma"/>
            <family val="2"/>
          </rPr>
          <t>Add only a new instrument if you cannot find it in the list.</t>
        </r>
      </text>
    </comment>
    <comment ref="G24" authorId="1" shapeId="0" xr:uid="{35AA61F8-B74D-4A6B-B703-EB459334A3AA}">
      <text>
        <r>
          <rPr>
            <sz val="9"/>
            <color indexed="81"/>
            <rFont val="Tahoma"/>
            <family val="2"/>
          </rPr>
          <t xml:space="preserve">
(Dept. co-financing salary+Dept. co-financing others)/Total budget (incl. overhead)</t>
        </r>
      </text>
    </comment>
    <comment ref="G28" authorId="1" shapeId="0" xr:uid="{C5B41D2F-A7CC-472C-869E-7FF433142702}">
      <text>
        <r>
          <rPr>
            <sz val="9"/>
            <color indexed="81"/>
            <rFont val="Tahoma"/>
            <family val="2"/>
          </rPr>
          <t xml:space="preserve">
Scrap value</t>
        </r>
      </text>
    </comment>
    <comment ref="D30" authorId="1" shapeId="0" xr:uid="{CAB6B800-37E8-4CC1-8484-1989A1FF219F}">
      <text>
        <r>
          <rPr>
            <sz val="9"/>
            <color indexed="81"/>
            <rFont val="Tahoma"/>
            <family val="2"/>
          </rPr>
          <t xml:space="preserve">
(Overhead/Projectsupplement/BenchFee/EBIT+PhDtuitionFee to dept.-Dept. co-financing salary-Dept. co-financing others-Depreciation covered by dept….)/Applied amount to the dept. incl. overhead</t>
        </r>
      </text>
    </comment>
    <comment ref="D31" authorId="1" shapeId="0" xr:uid="{7DB51578-2AE9-4387-A9D5-E7497E931887}">
      <text>
        <r>
          <rPr>
            <sz val="9"/>
            <color indexed="81"/>
            <rFont val="Tahoma"/>
            <family val="2"/>
          </rPr>
          <t xml:space="preserve">
(Overhead/Projectsupplement/+BenchFee/EBIT+Cost Coverage salary+Cost Coverage others+PhDtuitionFee to dept.-Dept. co-financing salary-Dept. co-financing others-Depreciation covered by dept...)/Applied amount to the dept. incl. overhead</t>
        </r>
      </text>
    </comment>
    <comment ref="D32" authorId="1" shapeId="0" xr:uid="{2CD06D43-4BDD-49B5-9DA4-7C36F0743096}">
      <text>
        <r>
          <rPr>
            <sz val="9"/>
            <color indexed="81"/>
            <rFont val="Tahoma"/>
            <family val="2"/>
          </rPr>
          <t xml:space="preserve">
(Overhead/Projectsupplement/BenchFee/EBIT+Cost Coverage Salary+Cost Coverage Others+PhDtuitionFee to department-Dept. co-financing others-Depreciation covered by dept...)/Applied amount to the dept. incl. overhead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Allan Bøge Ochwat</author>
    <author>Helle S. Simonsen</author>
  </authors>
  <commentList>
    <comment ref="B5" authorId="0" shapeId="0" xr:uid="{D9D84470-B629-41D5-80B2-6A25135C084F}">
      <text>
        <r>
          <rPr>
            <sz val="9"/>
            <color indexed="81"/>
            <rFont val="Tahoma"/>
            <family val="2"/>
          </rPr>
          <t>Add only a new grant source if you cannot find it in the list.</t>
        </r>
      </text>
    </comment>
    <comment ref="B6" authorId="0" shapeId="0" xr:uid="{AD9F2090-9196-4DFE-B9D3-B4DB844236DD}">
      <text>
        <r>
          <rPr>
            <sz val="9"/>
            <color indexed="81"/>
            <rFont val="Tahoma"/>
            <family val="2"/>
          </rPr>
          <t>Add only a new instrument if you cannot find it in the list.</t>
        </r>
      </text>
    </comment>
    <comment ref="G24" authorId="1" shapeId="0" xr:uid="{AB81B1E3-3283-4E9F-B076-5C87717A2775}">
      <text>
        <r>
          <rPr>
            <sz val="9"/>
            <color indexed="81"/>
            <rFont val="Tahoma"/>
            <family val="2"/>
          </rPr>
          <t>(Dept. co-financing salary+Dept. co-financing others)/Total budget (incl. overhead)</t>
        </r>
      </text>
    </comment>
    <comment ref="G28" authorId="1" shapeId="0" xr:uid="{5F8FC036-80F4-442A-B09F-4FB2EB7F4FE8}">
      <text>
        <r>
          <rPr>
            <sz val="9"/>
            <color indexed="81"/>
            <rFont val="Tahoma"/>
            <family val="2"/>
          </rPr>
          <t xml:space="preserve">
Scrap value</t>
        </r>
      </text>
    </comment>
    <comment ref="D30" authorId="1" shapeId="0" xr:uid="{74E3E315-EB5C-4785-BD9F-6017D85C2AD6}">
      <text>
        <r>
          <rPr>
            <sz val="9"/>
            <color indexed="81"/>
            <rFont val="Tahoma"/>
            <family val="2"/>
          </rPr>
          <t>(Overhead/Projectsupplement/BenchFee/EBIT+Cost Covarage salary+Cost Coverage others-Dept. co-financing salary-Dept. co-financing others)/(Applied amount to the dept. incl. Overhead-Overhead/Projectsupplement/BenchFee/EBIT-Cost Covarage salary-Cost Coverage others+Department co-financing salary+Department co-financing others)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N4" authorId="0" shapeId="0" xr:uid="{40A30AD3-0414-43A1-9008-916523A27B4A}">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977E8036-8922-4D43-BD00-2CC4845FD436}">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N5" authorId="1" shapeId="0" xr:uid="{3D48102F-184A-4C77-8DE2-6F1135422038}">
      <text>
        <r>
          <rPr>
            <sz val="9"/>
            <color indexed="81"/>
            <rFont val="Tahoma"/>
            <charset val="1"/>
          </rPr>
          <t>Co-financing from department(excl overhead)/Total budget(excel overhead)</t>
        </r>
      </text>
    </comment>
    <comment ref="C6" authorId="0" shapeId="0" xr:uid="{FD5B171A-89B4-48F8-AE07-E7B2CE5444FE}">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12EAEC61-D4E6-4CD2-BEEA-F537CFAD9C36}">
      <text>
        <r>
          <rPr>
            <sz val="9"/>
            <color indexed="81"/>
            <rFont val="Tahoma"/>
            <family val="2"/>
          </rPr>
          <t xml:space="preserve">Indicates the costs on which the overhead calculation is based
</t>
        </r>
      </text>
    </comment>
    <comment ref="N6" authorId="1" shapeId="0" xr:uid="{EE19605A-73AD-4257-B620-7F83C00A3F86}">
      <text>
        <r>
          <rPr>
            <sz val="9"/>
            <color indexed="81"/>
            <rFont val="Tahoma"/>
            <family val="2"/>
          </rPr>
          <t>Co-financing total/Total costs</t>
        </r>
        <r>
          <rPr>
            <sz val="9"/>
            <color indexed="81"/>
            <rFont val="Tahoma"/>
            <charset val="1"/>
          </rPr>
          <t xml:space="preserve">
</t>
        </r>
      </text>
    </comment>
    <comment ref="C7" authorId="0" shapeId="0" xr:uid="{BF3785E6-D41D-42ED-9D5F-58428967A048}">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83136386-5E73-4209-82BF-5EBC7ABD3F61}">
      <text>
        <r>
          <rPr>
            <sz val="9"/>
            <color indexed="81"/>
            <rFont val="Tahoma"/>
            <family val="2"/>
          </rPr>
          <t>Coverage of indirect costs for technical assistance is calculated automatically. Please specify the basis for the calculation.</t>
        </r>
      </text>
    </comment>
    <comment ref="C8" authorId="0" shapeId="0" xr:uid="{3CE8841B-2BBD-4C57-836B-B3C4347D0686}">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5F6D619A-AF36-4ECA-9F89-FCD832EA14B0}">
      <text>
        <r>
          <rPr>
            <sz val="9"/>
            <color indexed="81"/>
            <rFont val="Tahoma"/>
            <family val="2"/>
          </rPr>
          <t xml:space="preserve">Choose </t>
        </r>
        <r>
          <rPr>
            <b/>
            <sz val="9"/>
            <color indexed="81"/>
            <rFont val="Tahoma"/>
            <family val="2"/>
          </rPr>
          <t xml:space="preserve">YES </t>
        </r>
        <r>
          <rPr>
            <sz val="9"/>
            <color indexed="81"/>
            <rFont val="Tahoma"/>
            <family val="2"/>
          </rPr>
          <t>if the application contains GDPR data</t>
        </r>
      </text>
    </comment>
    <comment ref="C13" authorId="0" shapeId="0" xr:uid="{81E28BA8-D021-40D3-831C-CF563C87B64F}">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O19" authorId="0" shapeId="0" xr:uid="{BD7B432F-FCD7-48E2-8911-9483BC4EAD30}">
      <text>
        <r>
          <rPr>
            <sz val="9"/>
            <color indexed="81"/>
            <rFont val="Tahoma"/>
            <family val="2"/>
          </rPr>
          <t xml:space="preserve">Choose type of budget:
</t>
        </r>
        <r>
          <rPr>
            <b/>
            <sz val="9"/>
            <color indexed="81"/>
            <rFont val="Tahoma"/>
            <family val="2"/>
          </rPr>
          <t>External funding:</t>
        </r>
        <r>
          <rPr>
            <sz val="9"/>
            <color indexed="81"/>
            <rFont val="Tahoma"/>
            <family val="2"/>
          </rPr>
          <t xml:space="preserve"> Costs that are sought to be covered by the grant source.
</t>
        </r>
        <r>
          <rPr>
            <b/>
            <sz val="9"/>
            <color indexed="81"/>
            <rFont val="Tahoma"/>
            <family val="2"/>
          </rPr>
          <t>Coverage:</t>
        </r>
        <r>
          <rPr>
            <sz val="9"/>
            <color indexed="81"/>
            <rFont val="Tahoma"/>
            <family val="2"/>
          </rPr>
          <t xml:space="preserve"> Costs that are part of the department’s existing expenses and are sought to be covered by the grant source. 
</t>
        </r>
        <r>
          <rPr>
            <b/>
            <sz val="9"/>
            <color indexed="81"/>
            <rFont val="Tahoma"/>
            <family val="2"/>
          </rPr>
          <t>Co-financing covered by department:</t>
        </r>
        <r>
          <rPr>
            <sz val="9"/>
            <color indexed="81"/>
            <rFont val="Tahoma"/>
            <family val="2"/>
          </rPr>
          <t xml:space="preserve"> Co-financing that is sought to be covered by the department. This can include both existing and new expenses.
</t>
        </r>
        <r>
          <rPr>
            <b/>
            <sz val="9"/>
            <color indexed="81"/>
            <rFont val="Tahoma"/>
            <family val="2"/>
          </rPr>
          <t>Co-financing covered by external funding:</t>
        </r>
        <r>
          <rPr>
            <sz val="9"/>
            <color indexed="81"/>
            <rFont val="Tahoma"/>
            <family val="2"/>
          </rPr>
          <t xml:space="preserve"> Co-financing that is already covered by other external grants.</t>
        </r>
      </text>
    </comment>
    <comment ref="A43" authorId="0" shapeId="0" xr:uid="{89A208B3-1490-4AB4-A367-2D0CADCBDCF1}">
      <text>
        <r>
          <rPr>
            <sz val="9"/>
            <color indexed="81"/>
            <rFont val="Tahoma"/>
            <family val="2"/>
          </rPr>
          <t xml:space="preserve">Calculated based on VIP months except PhD and on TAP/Other master degree months - labeled external funding or Coverage. </t>
        </r>
      </text>
    </comment>
    <comment ref="A44" authorId="0" shapeId="0" xr:uid="{A9C0C12B-CCD0-47E0-B1FA-B8DF195BA606}">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45" authorId="0" shapeId="0" xr:uid="{377AB878-534B-4A8D-B651-CF40CED45DF0}">
      <text>
        <r>
          <rPr>
            <sz val="9"/>
            <color indexed="81"/>
            <rFont val="Tahoma"/>
            <family val="2"/>
          </rPr>
          <t xml:space="preserve">Calculated based on Tenure Track and Research Assistant and TAP(except for student, data/It,other TAP) labeled extern funding and coverage
</t>
        </r>
      </text>
    </comment>
    <comment ref="A63" authorId="0" shapeId="0" xr:uid="{FE85B367-4631-447A-9298-958B5DEDC359}">
      <text>
        <r>
          <rPr>
            <sz val="9"/>
            <color indexed="81"/>
            <rFont val="Tahoma"/>
            <family val="2"/>
          </rPr>
          <t xml:space="preserve">Calculated based on TAP Laboratory technican - labeled External funding and Coverage
</t>
        </r>
      </text>
    </comment>
    <comment ref="A64" authorId="0" shapeId="0" xr:uid="{2E00DD45-8310-4636-9EE8-E7334D941A6B}">
      <text>
        <r>
          <rPr>
            <sz val="9"/>
            <color indexed="81"/>
            <rFont val="Tahoma"/>
            <family val="2"/>
          </rPr>
          <t xml:space="preserve">Calculated based on TAP Laboratory technican - labeled Cofinancing by department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N4" authorId="0" shapeId="0" xr:uid="{18DD6251-8B82-402C-9CAC-20D48FB46251}">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A58AAEEE-3261-4950-89BF-75E32C427AD8}">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N5" authorId="1" shapeId="0" xr:uid="{C266FD43-0B93-4E03-A2B2-2E182057DFAE}">
      <text>
        <r>
          <rPr>
            <sz val="9"/>
            <color indexed="81"/>
            <rFont val="Tahoma"/>
            <charset val="1"/>
          </rPr>
          <t xml:space="preserve">Co-financing from department(excl overhead)/Total budget(excel overhead)
</t>
        </r>
      </text>
    </comment>
    <comment ref="C6" authorId="0" shapeId="0" xr:uid="{81595647-9938-4C35-989C-030BBB92B020}">
      <text>
        <r>
          <rPr>
            <sz val="9"/>
            <color indexed="81"/>
            <rFont val="Tahoma"/>
            <family val="2"/>
          </rPr>
          <t xml:space="preserve">
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C35C4331-B847-4FB2-B05B-C922EDA2669A}">
      <text>
        <r>
          <rPr>
            <sz val="9"/>
            <color indexed="81"/>
            <rFont val="Tahoma"/>
            <family val="2"/>
          </rPr>
          <t>Indicates the costs on which the overhead calculation is based</t>
        </r>
      </text>
    </comment>
    <comment ref="N6" authorId="1" shapeId="0" xr:uid="{C8E220CA-E52C-4D1F-9BEF-B50504505FBB}">
      <text>
        <r>
          <rPr>
            <sz val="9"/>
            <color indexed="81"/>
            <rFont val="Tahoma"/>
            <family val="2"/>
          </rPr>
          <t>Co-financing total/Total costs</t>
        </r>
        <r>
          <rPr>
            <sz val="9"/>
            <color indexed="81"/>
            <rFont val="Tahoma"/>
            <charset val="1"/>
          </rPr>
          <t xml:space="preserve">
</t>
        </r>
      </text>
    </comment>
    <comment ref="C7" authorId="0" shapeId="0" xr:uid="{609D2B2F-6AE7-4FC8-BF9E-AEFD93EE6340}">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4EA412F0-3B94-42A0-B2F9-57023859C2DD}">
      <text>
        <r>
          <rPr>
            <sz val="9"/>
            <color indexed="81"/>
            <rFont val="Tahoma"/>
            <family val="2"/>
          </rPr>
          <t>Coverage of indirect costs for technical assistance is calculated automatically. Please specify the basis for the calculation.</t>
        </r>
      </text>
    </comment>
    <comment ref="C8" authorId="0" shapeId="0" xr:uid="{2D842284-D7CC-4CDC-9927-49BBEE24F76E}">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DFCD7179-765B-4F3C-A578-7DB885392EF8}">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9753C95C-A5E7-42C5-AC2E-8ED55A3E5234}">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O19" authorId="0" shapeId="0" xr:uid="{B5AD9F12-2E3A-4304-B081-49A294298153}">
      <text>
        <r>
          <rPr>
            <sz val="9"/>
            <color indexed="81"/>
            <rFont val="Tahoma"/>
            <family val="2"/>
          </rPr>
          <t xml:space="preserve">Choose type of budget:
</t>
        </r>
        <r>
          <rPr>
            <b/>
            <sz val="9"/>
            <color indexed="81"/>
            <rFont val="Tahoma"/>
            <family val="2"/>
          </rPr>
          <t>External funding:</t>
        </r>
        <r>
          <rPr>
            <sz val="9"/>
            <color indexed="81"/>
            <rFont val="Tahoma"/>
            <family val="2"/>
          </rPr>
          <t xml:space="preserve"> Costs that are sought to be covered by the grant source.
</t>
        </r>
        <r>
          <rPr>
            <b/>
            <sz val="9"/>
            <color indexed="81"/>
            <rFont val="Tahoma"/>
            <family val="2"/>
          </rPr>
          <t>Coverage:</t>
        </r>
        <r>
          <rPr>
            <sz val="9"/>
            <color indexed="81"/>
            <rFont val="Tahoma"/>
            <family val="2"/>
          </rPr>
          <t xml:space="preserve"> Costs that are part of the department’s existing expenses and are sought to be covered by the grant source. 
</t>
        </r>
        <r>
          <rPr>
            <b/>
            <sz val="9"/>
            <color indexed="81"/>
            <rFont val="Tahoma"/>
            <family val="2"/>
          </rPr>
          <t xml:space="preserve">Co-financing covered by department: </t>
        </r>
        <r>
          <rPr>
            <sz val="9"/>
            <color indexed="81"/>
            <rFont val="Tahoma"/>
            <family val="2"/>
          </rPr>
          <t xml:space="preserve">Co-financing that is sought to be covered by the department. This can include both existing and new expenses.
</t>
        </r>
        <r>
          <rPr>
            <b/>
            <sz val="9"/>
            <color indexed="81"/>
            <rFont val="Tahoma"/>
            <family val="2"/>
          </rPr>
          <t>Co-financing covered by external funding</t>
        </r>
        <r>
          <rPr>
            <sz val="9"/>
            <color indexed="81"/>
            <rFont val="Tahoma"/>
            <family val="2"/>
          </rPr>
          <t>: Co-financing that is already covered by other external grants.</t>
        </r>
      </text>
    </comment>
    <comment ref="A43" authorId="0" shapeId="0" xr:uid="{0BA6E1E8-3845-4C68-BE06-B691366A6C7B}">
      <text>
        <r>
          <rPr>
            <sz val="9"/>
            <color indexed="81"/>
            <rFont val="Tahoma"/>
            <family val="2"/>
          </rPr>
          <t xml:space="preserve">Calculated based on VIP months except PhD and on TAP/Other master degree months - labeled external funding or Coverage. </t>
        </r>
      </text>
    </comment>
    <comment ref="A44" authorId="0" shapeId="0" xr:uid="{BF1BFD50-7C15-4C54-8A67-58C9C6255446}">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45" authorId="1" shapeId="0" xr:uid="{3CABF49E-4E91-4DA0-8BCA-F49DC266B763}">
      <text>
        <r>
          <rPr>
            <sz val="9"/>
            <color indexed="81"/>
            <rFont val="Tahoma"/>
            <family val="2"/>
          </rPr>
          <t xml:space="preserve">Calculated based on Tenure Track and Research Assistant and TAP(except for student, data/It,other TAP) labeled extern funding and coverage
</t>
        </r>
      </text>
    </comment>
    <comment ref="A63" authorId="0" shapeId="0" xr:uid="{15F83923-C09C-4FF9-A4A9-2E843DE10FC8}">
      <text>
        <r>
          <rPr>
            <sz val="9"/>
            <color indexed="81"/>
            <rFont val="Tahoma"/>
            <family val="2"/>
          </rPr>
          <t>Calculated based on TAP Laboratory technican - labeled External funding and Coverage</t>
        </r>
      </text>
    </comment>
    <comment ref="A64" authorId="0" shapeId="0" xr:uid="{574AE263-1424-4ED2-AAD7-744FA5645E20}">
      <text>
        <r>
          <rPr>
            <sz val="9"/>
            <color indexed="81"/>
            <rFont val="Tahoma"/>
            <family val="2"/>
          </rPr>
          <t xml:space="preserve">Calculated based on TAP Laboratory technican - labeled Cofinancing by department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N4" authorId="0" shapeId="0" xr:uid="{3D8261E6-F6FB-4760-8E7F-9B6CB21767FE}">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8AE00FA7-8DB8-4367-A396-45C40A9B58AF}">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N5" authorId="1" shapeId="0" xr:uid="{D1D2EEBB-BED3-4F91-A834-1118D1F2A555}">
      <text>
        <r>
          <rPr>
            <b/>
            <sz val="9"/>
            <color indexed="81"/>
            <rFont val="Tahoma"/>
            <charset val="1"/>
          </rPr>
          <t>Co-financing from department(excl overhead)/Total budget(excel overhead)</t>
        </r>
        <r>
          <rPr>
            <sz val="9"/>
            <color indexed="81"/>
            <rFont val="Tahoma"/>
            <charset val="1"/>
          </rPr>
          <t xml:space="preserve">
</t>
        </r>
      </text>
    </comment>
    <comment ref="C6" authorId="0" shapeId="0" xr:uid="{DCA86FB8-488B-469D-A448-D93F053678E7}">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74A7D4A0-BED7-49BA-BC18-5C2BBA5DEFFE}">
      <text>
        <r>
          <rPr>
            <sz val="9"/>
            <color indexed="81"/>
            <rFont val="Tahoma"/>
            <family val="2"/>
          </rPr>
          <t>Indicates the costs on which the overhead calculation is based</t>
        </r>
      </text>
    </comment>
    <comment ref="N6" authorId="1" shapeId="0" xr:uid="{9091567E-DE9A-470D-8644-D3497C6D4992}">
      <text>
        <r>
          <rPr>
            <sz val="9"/>
            <color indexed="81"/>
            <rFont val="Tahoma"/>
            <family val="2"/>
          </rPr>
          <t>Co-financing total/Total costs</t>
        </r>
        <r>
          <rPr>
            <sz val="9"/>
            <color indexed="81"/>
            <rFont val="Tahoma"/>
            <charset val="1"/>
          </rPr>
          <t xml:space="preserve">
</t>
        </r>
      </text>
    </comment>
    <comment ref="C7" authorId="0" shapeId="0" xr:uid="{F49AEC4A-6A0E-4E6D-8DF6-117D84068227}">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B14CA991-2D04-4508-BE62-A84CE59BC52B}">
      <text>
        <r>
          <rPr>
            <sz val="9"/>
            <color indexed="81"/>
            <rFont val="Tahoma"/>
            <family val="2"/>
          </rPr>
          <t>Coverage of indirect costs for technical assistance is calculated automatically. Please specify the basis for the calculation.</t>
        </r>
      </text>
    </comment>
    <comment ref="C8" authorId="0" shapeId="0" xr:uid="{53C1954B-BD73-4744-BD90-E7B64BF43E2B}">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61E1878A-67DB-4E4A-898D-54055BA1A5B9}">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51F75998-7DA0-4E9C-BF74-4BC84718FFDC}">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O19" authorId="0" shapeId="0" xr:uid="{E01AC9A7-0E69-47D0-BC0F-D2C22478478C}">
      <text>
        <r>
          <rPr>
            <sz val="9"/>
            <color indexed="81"/>
            <rFont val="Tahoma"/>
            <family val="2"/>
          </rPr>
          <t xml:space="preserve">Choose type of budget:
</t>
        </r>
        <r>
          <rPr>
            <b/>
            <sz val="9"/>
            <color indexed="81"/>
            <rFont val="Tahoma"/>
            <family val="2"/>
          </rPr>
          <t xml:space="preserve">External funding: </t>
        </r>
        <r>
          <rPr>
            <sz val="9"/>
            <color indexed="81"/>
            <rFont val="Tahoma"/>
            <family val="2"/>
          </rPr>
          <t xml:space="preserve">Costs that are sought to be covered by the grant source.
</t>
        </r>
        <r>
          <rPr>
            <b/>
            <sz val="9"/>
            <color indexed="81"/>
            <rFont val="Tahoma"/>
            <family val="2"/>
          </rPr>
          <t xml:space="preserve">Coverage: </t>
        </r>
        <r>
          <rPr>
            <sz val="9"/>
            <color indexed="81"/>
            <rFont val="Tahoma"/>
            <family val="2"/>
          </rPr>
          <t xml:space="preserve">Costs that are part of the department’s existing expenses and are sought to be covered by the grant source. 
</t>
        </r>
        <r>
          <rPr>
            <b/>
            <sz val="9"/>
            <color indexed="81"/>
            <rFont val="Tahoma"/>
            <family val="2"/>
          </rPr>
          <t>Co-financing covered by department:</t>
        </r>
        <r>
          <rPr>
            <sz val="9"/>
            <color indexed="81"/>
            <rFont val="Tahoma"/>
            <family val="2"/>
          </rPr>
          <t xml:space="preserve"> Co-financing that is sought to be covered by the department. This can include both existing and new expenses.
</t>
        </r>
        <r>
          <rPr>
            <b/>
            <sz val="9"/>
            <color indexed="81"/>
            <rFont val="Tahoma"/>
            <family val="2"/>
          </rPr>
          <t>Co-financing covered by external funding:</t>
        </r>
        <r>
          <rPr>
            <sz val="9"/>
            <color indexed="81"/>
            <rFont val="Tahoma"/>
            <family val="2"/>
          </rPr>
          <t xml:space="preserve"> Co-financing that is already covered by other external grants.</t>
        </r>
      </text>
    </comment>
    <comment ref="A43" authorId="0" shapeId="0" xr:uid="{16831B56-61CE-40F4-8D9B-1EAF6B8FD15D}">
      <text>
        <r>
          <rPr>
            <sz val="9"/>
            <color indexed="81"/>
            <rFont val="Tahoma"/>
            <family val="2"/>
          </rPr>
          <t xml:space="preserve">Calculated based on VIP months except PhD and on TAP/Other master degree months - labeled external funding or Coverage. </t>
        </r>
      </text>
    </comment>
    <comment ref="A44" authorId="0" shapeId="0" xr:uid="{85628EE9-5355-4475-92FE-A183CD6A9498}">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45" authorId="1" shapeId="0" xr:uid="{DDAFB6BB-85B4-4684-A02F-F81C5B1D110C}">
      <text>
        <r>
          <rPr>
            <sz val="9"/>
            <color indexed="81"/>
            <rFont val="Tahoma"/>
            <family val="2"/>
          </rPr>
          <t xml:space="preserve">Calculated based on Tenure Track and Research Assistant and TAP(except for student, data/It,other TAP) labeled extern funding and coverage
</t>
        </r>
      </text>
    </comment>
    <comment ref="A63" authorId="0" shapeId="0" xr:uid="{D9822C77-6545-4B01-B1C1-79A39BF68D8D}">
      <text>
        <r>
          <rPr>
            <sz val="9"/>
            <color indexed="81"/>
            <rFont val="Tahoma"/>
            <family val="2"/>
          </rPr>
          <t>Calculated based on TAP Laboratory technican - labeled External funding and Coverage</t>
        </r>
      </text>
    </comment>
    <comment ref="A64" authorId="0" shapeId="0" xr:uid="{11568554-CFAB-428D-AF35-590D8AE0B6DD}">
      <text>
        <r>
          <rPr>
            <sz val="9"/>
            <color indexed="81"/>
            <rFont val="Tahoma"/>
            <family val="2"/>
          </rPr>
          <t xml:space="preserve">Calculated based on TAP Laboratory technican - labeled Cofinancing by department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N4" authorId="0" shapeId="0" xr:uid="{335AF5D9-E7E1-4B4C-AD38-5017DA4164DC}">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4D887546-ED62-446F-9413-D637CD60EFE1}">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N5" authorId="1" shapeId="0" xr:uid="{07BE8E4B-AADC-45ED-9671-ECC22A1273DD}">
      <text>
        <r>
          <rPr>
            <b/>
            <sz val="9"/>
            <color indexed="81"/>
            <rFont val="Tahoma"/>
            <charset val="1"/>
          </rPr>
          <t>Co-financing from department(excl overhead)/Total budget(excel overhead)</t>
        </r>
        <r>
          <rPr>
            <sz val="9"/>
            <color indexed="81"/>
            <rFont val="Tahoma"/>
            <charset val="1"/>
          </rPr>
          <t xml:space="preserve">
</t>
        </r>
      </text>
    </comment>
    <comment ref="C6" authorId="0" shapeId="0" xr:uid="{DDECFF2C-BA86-4EED-B51E-F814B931F448}">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5E665193-207F-44A5-A149-932B4CE83D41}">
      <text>
        <r>
          <rPr>
            <sz val="9"/>
            <color indexed="81"/>
            <rFont val="Tahoma"/>
            <family val="2"/>
          </rPr>
          <t>Indicates the costs on which the overhead calculation is based</t>
        </r>
      </text>
    </comment>
    <comment ref="N6" authorId="1" shapeId="0" xr:uid="{F336393F-E00A-488E-97AD-A61B949268DE}">
      <text>
        <r>
          <rPr>
            <sz val="9"/>
            <color indexed="81"/>
            <rFont val="Tahoma"/>
            <family val="2"/>
          </rPr>
          <t>Co-financing total/Total costs</t>
        </r>
        <r>
          <rPr>
            <sz val="9"/>
            <color indexed="81"/>
            <rFont val="Tahoma"/>
            <charset val="1"/>
          </rPr>
          <t xml:space="preserve">
</t>
        </r>
      </text>
    </comment>
    <comment ref="C7" authorId="0" shapeId="0" xr:uid="{A811FFE4-976F-4E05-85E6-A6B938B210EE}">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CB06A8C2-4273-4D91-B531-BC94F430F49C}">
      <text>
        <r>
          <rPr>
            <sz val="9"/>
            <color indexed="81"/>
            <rFont val="Tahoma"/>
            <family val="2"/>
          </rPr>
          <t>Coverage of indirect costs for technical assistance is calculated automatically. Please specify the basis for the calculation.</t>
        </r>
      </text>
    </comment>
    <comment ref="C8" authorId="0" shapeId="0" xr:uid="{57B87071-8657-47D2-9128-4158D36531F8}">
      <text>
        <r>
          <rPr>
            <b/>
            <sz val="9"/>
            <color indexed="81"/>
            <rFont val="Tahoma"/>
            <family val="2"/>
          </rPr>
          <t>Helle S. Simonsen:</t>
        </r>
        <r>
          <rPr>
            <sz val="9"/>
            <color indexed="81"/>
            <rFont val="Tahoma"/>
            <family val="2"/>
          </rPr>
          <t xml:space="preserve">
If the grant source is Novo Nordisk, Lundbeck, Villum, Velux, Carlsberg, Leo, the field will be filled with project supplement. You can select bench fee from the list if the call indicates that a bench fee should be applied for.</t>
        </r>
      </text>
    </comment>
    <comment ref="H8" authorId="0" shapeId="0" xr:uid="{46AE7649-03D6-4854-9C1A-C2DCCFD2B845}">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B33445FE-2A86-4618-93A6-53B90532A9E3}">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O19" authorId="0" shapeId="0" xr:uid="{0B4E2961-C8D7-4735-BC65-7A0558016B29}">
      <text>
        <r>
          <rPr>
            <sz val="9"/>
            <color indexed="81"/>
            <rFont val="Tahoma"/>
            <family val="2"/>
          </rPr>
          <t xml:space="preserve">Choose type of budget:
</t>
        </r>
        <r>
          <rPr>
            <b/>
            <sz val="9"/>
            <color indexed="81"/>
            <rFont val="Tahoma"/>
            <family val="2"/>
          </rPr>
          <t xml:space="preserve">External funding: </t>
        </r>
        <r>
          <rPr>
            <sz val="9"/>
            <color indexed="81"/>
            <rFont val="Tahoma"/>
            <family val="2"/>
          </rPr>
          <t xml:space="preserve">Costs that are sought to be covered by the grant source.
</t>
        </r>
        <r>
          <rPr>
            <b/>
            <sz val="9"/>
            <color indexed="81"/>
            <rFont val="Tahoma"/>
            <family val="2"/>
          </rPr>
          <t xml:space="preserve">Coverage: </t>
        </r>
        <r>
          <rPr>
            <sz val="9"/>
            <color indexed="81"/>
            <rFont val="Tahoma"/>
            <family val="2"/>
          </rPr>
          <t xml:space="preserve">Costs that are part of the department’s existing expenses and are sought to be covered by the grant source. 
</t>
        </r>
        <r>
          <rPr>
            <b/>
            <sz val="9"/>
            <color indexed="81"/>
            <rFont val="Tahoma"/>
            <family val="2"/>
          </rPr>
          <t xml:space="preserve">Co-financing covered by department: </t>
        </r>
        <r>
          <rPr>
            <sz val="9"/>
            <color indexed="81"/>
            <rFont val="Tahoma"/>
            <family val="2"/>
          </rPr>
          <t xml:space="preserve">Co-financing that is sought to be covered by the department. This can include both existing and new expenses.
</t>
        </r>
        <r>
          <rPr>
            <b/>
            <sz val="9"/>
            <color indexed="81"/>
            <rFont val="Tahoma"/>
            <family val="2"/>
          </rPr>
          <t xml:space="preserve">Co-financing covered by external funding: </t>
        </r>
        <r>
          <rPr>
            <sz val="9"/>
            <color indexed="81"/>
            <rFont val="Tahoma"/>
            <family val="2"/>
          </rPr>
          <t>Co-financing that is already covered by other external grants.</t>
        </r>
      </text>
    </comment>
    <comment ref="A43" authorId="0" shapeId="0" xr:uid="{1BFCB92F-BF0B-453B-B42C-467A2436998F}">
      <text>
        <r>
          <rPr>
            <sz val="9"/>
            <color indexed="81"/>
            <rFont val="Tahoma"/>
            <family val="2"/>
          </rPr>
          <t xml:space="preserve">Calculated based on VIP months except PhD and on TAP/Other master degree months - labeled external funding or Coverage. </t>
        </r>
      </text>
    </comment>
    <comment ref="A44" authorId="0" shapeId="0" xr:uid="{10516F44-0AE3-48C9-9BEB-752E3130D2A0}">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45" authorId="1" shapeId="0" xr:uid="{4786BE7F-5198-4393-B965-EF57746D02EA}">
      <text>
        <r>
          <rPr>
            <sz val="9"/>
            <color indexed="81"/>
            <rFont val="Tahoma"/>
            <family val="2"/>
          </rPr>
          <t>Calculated based on Tenure Track and Research Assistant and TAP(except for student, data/It,other TAP) labeled extern funding and coverage</t>
        </r>
        <r>
          <rPr>
            <sz val="9"/>
            <color indexed="81"/>
            <rFont val="Tahoma"/>
            <charset val="1"/>
          </rPr>
          <t xml:space="preserve">
</t>
        </r>
      </text>
    </comment>
    <comment ref="A63" authorId="0" shapeId="0" xr:uid="{21731509-4465-4C56-B87E-E7C895ADBA08}">
      <text>
        <r>
          <rPr>
            <sz val="9"/>
            <color indexed="81"/>
            <rFont val="Tahoma"/>
            <family val="2"/>
          </rPr>
          <t>Calculated based on TAP Laboratory technican - labeled External funding and Coverage</t>
        </r>
      </text>
    </comment>
    <comment ref="A64" authorId="0" shapeId="0" xr:uid="{488913B2-09A0-4682-A402-F76FA2D02BC1}">
      <text>
        <r>
          <rPr>
            <sz val="9"/>
            <color indexed="81"/>
            <rFont val="Tahoma"/>
            <family val="2"/>
          </rPr>
          <t xml:space="preserve">Calculated based on TAP Laboratory technican - labeled Cofinancing by department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Helle S. Simonsen</author>
    <author>Betina Sehested Gade</author>
  </authors>
  <commentList>
    <comment ref="N4" authorId="0" shapeId="0" xr:uid="{8451EEC4-FD3C-46DD-959D-AAD8129763FB}">
      <text>
        <r>
          <rPr>
            <sz val="9"/>
            <color indexed="81"/>
            <rFont val="Tahoma"/>
            <family val="2"/>
          </rPr>
          <t>(Overhead/Projectsupplement/BenchFee/EBIT+Covarage salary+operations--Dept. co-financing salary+operations)/(Applied amount to the dept. incl. Overhead-Overhead/Projectsupplement/BenchFee/EBIT-Covarage salary+operations+Dept. co-financing salary+operations)</t>
        </r>
      </text>
    </comment>
    <comment ref="C5" authorId="0" shapeId="0" xr:uid="{8ADA9962-7246-4907-8858-72652AAD7569}">
      <text>
        <r>
          <rPr>
            <sz val="9"/>
            <color indexed="81"/>
            <rFont val="Tahoma"/>
            <family val="2"/>
          </rPr>
          <t>Select a grant source from the list and the overhead and hours will be filled in automatically. If you enter a funder that is not on the list, you will need to fill in the overhead and hours correctly yourself</t>
        </r>
      </text>
    </comment>
    <comment ref="N5" authorId="1" shapeId="0" xr:uid="{0B99B8E8-ABDA-4D03-AB44-91A7D77417E1}">
      <text>
        <r>
          <rPr>
            <b/>
            <sz val="9"/>
            <color indexed="81"/>
            <rFont val="Tahoma"/>
            <charset val="1"/>
          </rPr>
          <t>Co-financing from department(excl overhead)/Total budget(excel overhead)</t>
        </r>
        <r>
          <rPr>
            <sz val="9"/>
            <color indexed="81"/>
            <rFont val="Tahoma"/>
            <charset val="1"/>
          </rPr>
          <t xml:space="preserve">
</t>
        </r>
      </text>
    </comment>
    <comment ref="C6" authorId="0" shapeId="0" xr:uid="{D41C4C81-FC30-463C-875E-E5A42C9AA533}">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6" authorId="0" shapeId="0" xr:uid="{0E071E97-ECFF-491D-9678-D536A840F4AC}">
      <text>
        <r>
          <rPr>
            <sz val="9"/>
            <color indexed="81"/>
            <rFont val="Tahoma"/>
            <family val="2"/>
          </rPr>
          <t>Indicates the costs on which the overhead calculation is based</t>
        </r>
      </text>
    </comment>
    <comment ref="N6" authorId="1" shapeId="0" xr:uid="{13A109D2-3F1E-4E5B-B169-4BDC05A08A18}">
      <text>
        <r>
          <rPr>
            <sz val="9"/>
            <color indexed="81"/>
            <rFont val="Tahoma"/>
            <family val="2"/>
          </rPr>
          <t>Co-financing total/Total costs</t>
        </r>
        <r>
          <rPr>
            <sz val="9"/>
            <color indexed="81"/>
            <rFont val="Tahoma"/>
            <charset val="1"/>
          </rPr>
          <t xml:space="preserve">
</t>
        </r>
      </text>
    </comment>
    <comment ref="C7" authorId="0" shapeId="0" xr:uid="{551F998C-D2F0-4853-B6EA-6BF7E1FAD547}">
      <text>
        <r>
          <rPr>
            <sz val="9"/>
            <color indexed="81"/>
            <rFont val="Tahoma"/>
            <family val="2"/>
          </rPr>
          <t>This field is automatically filled based on "Grant Source". If you do not select a grant source from the list, you must ensure that the field is filled in correctly. Note - if the field is overwritten, the automatic filling function will disappear</t>
        </r>
      </text>
    </comment>
    <comment ref="G7" authorId="0" shapeId="0" xr:uid="{FB5C79D3-69E6-4460-8561-51FED2B23F79}">
      <text>
        <r>
          <rPr>
            <sz val="9"/>
            <color indexed="81"/>
            <rFont val="Tahoma"/>
            <family val="2"/>
          </rPr>
          <t>Coverage of indirect costs for technical assistance is calculated automatically. Please specify the basis for the calculation.</t>
        </r>
      </text>
    </comment>
    <comment ref="C8" authorId="0" shapeId="0" xr:uid="{725B9CF4-9F13-4207-82BF-65A07A8CB878}">
      <text>
        <r>
          <rPr>
            <sz val="9"/>
            <color indexed="81"/>
            <rFont val="Tahoma"/>
            <family val="2"/>
          </rPr>
          <t>If the grant source is Novo Nordisk, Lundbeck, Villum, Velux, Carlsberg, Leo, the field will be filled with project supplement. You can select bench fee from the list if the call indicates that a bench fee should be applied for.</t>
        </r>
      </text>
    </comment>
    <comment ref="H8" authorId="0" shapeId="0" xr:uid="{C0AD95CC-A5EB-47BE-914E-97380B426237}">
      <text>
        <r>
          <rPr>
            <sz val="9"/>
            <color indexed="81"/>
            <rFont val="Tahoma"/>
            <family val="2"/>
          </rPr>
          <t xml:space="preserve">Choose </t>
        </r>
        <r>
          <rPr>
            <b/>
            <sz val="9"/>
            <color indexed="81"/>
            <rFont val="Tahoma"/>
            <family val="2"/>
          </rPr>
          <t>YES</t>
        </r>
        <r>
          <rPr>
            <sz val="9"/>
            <color indexed="81"/>
            <rFont val="Tahoma"/>
            <family val="2"/>
          </rPr>
          <t xml:space="preserve"> if the application contains GDPR data</t>
        </r>
      </text>
    </comment>
    <comment ref="C13" authorId="0" shapeId="0" xr:uid="{FE7A8EA7-98D7-4ED7-84C0-E6A3429B5FCF}">
      <text>
        <r>
          <rPr>
            <sz val="9"/>
            <color indexed="81"/>
            <rFont val="Tahoma"/>
            <family val="2"/>
          </rPr>
          <t>AU’s minimum profit margin - EBIT is 10%. If possible, a higher EBIT should be aimed for. If a lower EBIT is used, documentation must be provided. In monopoly-like situations, EBIT should be set to zero.</t>
        </r>
      </text>
    </comment>
    <comment ref="O19" authorId="0" shapeId="0" xr:uid="{802B0D38-0CA7-466D-A180-FECF64AF55F0}">
      <text>
        <r>
          <rPr>
            <sz val="9"/>
            <color indexed="81"/>
            <rFont val="Tahoma"/>
            <family val="2"/>
          </rPr>
          <t xml:space="preserve">Choose type of budget:
</t>
        </r>
        <r>
          <rPr>
            <b/>
            <sz val="9"/>
            <color indexed="81"/>
            <rFont val="Tahoma"/>
            <family val="2"/>
          </rPr>
          <t xml:space="preserve">External funding: </t>
        </r>
        <r>
          <rPr>
            <sz val="9"/>
            <color indexed="81"/>
            <rFont val="Tahoma"/>
            <family val="2"/>
          </rPr>
          <t>Costs that are sought to be covered by the grant source.</t>
        </r>
        <r>
          <rPr>
            <b/>
            <sz val="9"/>
            <color indexed="81"/>
            <rFont val="Tahoma"/>
            <family val="2"/>
          </rPr>
          <t xml:space="preserve">
Coverage: </t>
        </r>
        <r>
          <rPr>
            <sz val="9"/>
            <color indexed="81"/>
            <rFont val="Tahoma"/>
            <family val="2"/>
          </rPr>
          <t xml:space="preserve">Costs that are part of the department’s existing expenses and are sought to be covered by the grant source. </t>
        </r>
        <r>
          <rPr>
            <b/>
            <sz val="9"/>
            <color indexed="81"/>
            <rFont val="Tahoma"/>
            <family val="2"/>
          </rPr>
          <t xml:space="preserve">
Co-financing covered by department: </t>
        </r>
        <r>
          <rPr>
            <sz val="9"/>
            <color indexed="81"/>
            <rFont val="Tahoma"/>
            <family val="2"/>
          </rPr>
          <t>Co-financing that is sought to be covered by the department. This can include both existing and new expenses</t>
        </r>
        <r>
          <rPr>
            <b/>
            <sz val="9"/>
            <color indexed="81"/>
            <rFont val="Tahoma"/>
            <family val="2"/>
          </rPr>
          <t xml:space="preserve">.
Co-financing covered by external funding: </t>
        </r>
        <r>
          <rPr>
            <sz val="9"/>
            <color indexed="81"/>
            <rFont val="Tahoma"/>
            <family val="2"/>
          </rPr>
          <t>Co-financing that is already covered by other external grants.</t>
        </r>
      </text>
    </comment>
    <comment ref="A43" authorId="0" shapeId="0" xr:uid="{5E2ADDF6-CCDD-4441-AC09-128925D79241}">
      <text>
        <r>
          <rPr>
            <sz val="9"/>
            <color indexed="81"/>
            <rFont val="Tahoma"/>
            <family val="2"/>
          </rPr>
          <t xml:space="preserve">Calculated based on VIP months except PhD and on TAP/Other master degree months - labeled external funding or Coverage. </t>
        </r>
      </text>
    </comment>
    <comment ref="A44" authorId="0" shapeId="0" xr:uid="{287D4E59-03C2-4CC4-9B47-61F150714FE2}">
      <text>
        <r>
          <rPr>
            <sz val="9"/>
            <color indexed="81"/>
            <rFont val="Tahoma"/>
            <family val="2"/>
          </rPr>
          <t xml:space="preserve">Calculated based on VIP months except PhD and on TAP/Other master degree months - labeled Co-financing covered by department and Co-financing covered by external funding. </t>
        </r>
      </text>
    </comment>
    <comment ref="A45" authorId="1" shapeId="0" xr:uid="{24427DA9-73F6-406E-AE5B-428F926D3EA4}">
      <text>
        <r>
          <rPr>
            <sz val="9"/>
            <color indexed="81"/>
            <rFont val="Tahoma"/>
            <family val="2"/>
          </rPr>
          <t>Calculated based on Tenure Track and Research Assistant and TAP(except for student, data/It,other TAP) labeled extern funding and coverage</t>
        </r>
        <r>
          <rPr>
            <sz val="9"/>
            <color indexed="81"/>
            <rFont val="Tahoma"/>
            <charset val="1"/>
          </rPr>
          <t xml:space="preserve">
</t>
        </r>
      </text>
    </comment>
    <comment ref="A63" authorId="0" shapeId="0" xr:uid="{C1B1632D-15D9-4A7B-AB2E-B1BD5C2E750C}">
      <text>
        <r>
          <rPr>
            <sz val="9"/>
            <color indexed="81"/>
            <rFont val="Tahoma"/>
            <family val="2"/>
          </rPr>
          <t>Calculated based on TAP Laboratory technican - labeled External funding and Coverage</t>
        </r>
      </text>
    </comment>
    <comment ref="A64" authorId="0" shapeId="0" xr:uid="{95814F1B-4E1F-4ADE-94B1-BF9A49811C55}">
      <text>
        <r>
          <rPr>
            <sz val="9"/>
            <color indexed="81"/>
            <rFont val="Tahoma"/>
            <family val="2"/>
          </rPr>
          <t xml:space="preserve">Calculated based on TAP Laboratory technican - labeled Cofinancing by department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4D47027-62EF-4CE2-8BE1-A4B37B448C14}" keepAlive="1" name="Forespørgsel - currencyratesxml?lang=en" description="Forbindelse til forespørgslen 'currencyratesxml?lang=en' i projektmappen." type="5" refreshedVersion="8" background="1" saveData="1">
    <dbPr connection="Provider=Microsoft.Mashup.OleDb.1;Data Source=$Workbook$;Location=&quot;currencyratesxml?lang=en&quot;;Extended Properties=&quot;&quot;" command="SELECT * FROM [currencyratesxml?lang=en]"/>
  </connection>
  <connection id="2" xr16:uid="{4807151C-0006-471E-9C52-A8D48E08F4A0}" keepAlive="1" name="Forespørgsel - Economists" description="Forbindelse til forespørgslen 'Economists' i projektmappen." type="5" refreshedVersion="8" background="1" saveData="1">
    <dbPr connection="Provider=Microsoft.Mashup.OleDb.1;Data Source=$Workbook$;Location=Economists;Extended Properties=&quot;&quot;" command="SELECT * FROM [Economists]"/>
  </connection>
  <connection id="3" xr16:uid="{D0FFBC72-29E6-4689-A140-C9390F73E659}" keepAlive="1" name="Forespørgsel - GrantSource" description="Forbindelse til forespørgslen 'GrantSource' i projektmappen." type="5" refreshedVersion="8" background="1" saveData="1">
    <dbPr connection="Provider=Microsoft.Mashup.OleDb.1;Data Source=$Workbook$;Location=GrantSource;Extended Properties=&quot;&quot;" command="SELECT * FROM [GrantSource]"/>
  </connection>
  <connection id="4" xr16:uid="{1930940B-F5C6-4F5C-A070-D0A99ACB2DB3}" keepAlive="1" name="Forespørgsel - Instrument" description="Forbindelse til forespørgslen 'Instrument' i projektmappen." type="5" refreshedVersion="8" background="1" saveData="1">
    <dbPr connection="Provider=Microsoft.Mashup.OleDb.1;Data Source=$Workbook$;Location=Instrument;Extended Properties=&quot;&quot;" command="SELECT * FROM [Instrument]"/>
  </connection>
  <connection id="5" xr16:uid="{AB6AD3FF-B158-4732-9363-4CAF368C68B3}" keepAlive="1" name="Forespørgsel - Section" description="Forbindelse til forespørgslen 'Section' i projektmappen." type="5" refreshedVersion="8" background="1" saveData="1">
    <dbPr connection="Provider=Microsoft.Mashup.OleDb.1;Data Source=$Workbook$;Location=Section;Extended Properties=&quot;&quot;" command="SELECT * FROM [Sectio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<sst xmlns="http://schemas.openxmlformats.org/spreadsheetml/2006/main" count="3679" uniqueCount="1390">
  <si>
    <t>Overhead</t>
  </si>
  <si>
    <t>Prisstigning</t>
  </si>
  <si>
    <t>Løn stigning</t>
  </si>
  <si>
    <t>AGRO</t>
  </si>
  <si>
    <t>FOOD</t>
  </si>
  <si>
    <t>DCA</t>
  </si>
  <si>
    <t>ICROFS</t>
  </si>
  <si>
    <t>VIP</t>
  </si>
  <si>
    <t>TAP</t>
  </si>
  <si>
    <t>GUDP</t>
  </si>
  <si>
    <t>DRIFT</t>
  </si>
  <si>
    <t>Kategori</t>
  </si>
  <si>
    <t>Timer/md</t>
  </si>
  <si>
    <t>NIFA</t>
  </si>
  <si>
    <t>EU</t>
  </si>
  <si>
    <t>15xx</t>
  </si>
  <si>
    <t>Grand Solutions</t>
  </si>
  <si>
    <t>Interreg</t>
  </si>
  <si>
    <t>Rullelister</t>
  </si>
  <si>
    <t xml:space="preserve"> </t>
  </si>
  <si>
    <t>PhD</t>
  </si>
  <si>
    <t>QGG</t>
  </si>
  <si>
    <t>DKK</t>
  </si>
  <si>
    <t>EUR</t>
  </si>
  <si>
    <t>SEK</t>
  </si>
  <si>
    <t>NOK</t>
  </si>
  <si>
    <t>USD</t>
  </si>
  <si>
    <t>Supplement to research administration Operations</t>
  </si>
  <si>
    <t xml:space="preserve">Budgeting helping sheet for grant financed projects </t>
  </si>
  <si>
    <r>
      <t>Insert overheads rate:</t>
    </r>
    <r>
      <rPr>
        <b/>
        <sz val="10"/>
        <color rgb="FFFF0000"/>
        <rFont val="Arial"/>
        <family val="2"/>
      </rPr>
      <t>*</t>
    </r>
  </si>
  <si>
    <r>
      <t>Insert yearly count of hours:</t>
    </r>
    <r>
      <rPr>
        <b/>
        <sz val="10"/>
        <color rgb="FFFF0000"/>
        <rFont val="Arial"/>
        <family val="2"/>
      </rPr>
      <t>*</t>
    </r>
  </si>
  <si>
    <r>
      <t>Overhead calculation basis:</t>
    </r>
    <r>
      <rPr>
        <b/>
        <sz val="10"/>
        <color rgb="FFFF0000"/>
        <rFont val="Arial"/>
        <family val="2"/>
      </rPr>
      <t>*</t>
    </r>
  </si>
  <si>
    <t>* = MUST BE FILLED TO CALCULATE SHEET CORRECT</t>
  </si>
  <si>
    <t>Comment</t>
  </si>
  <si>
    <t>Total</t>
  </si>
  <si>
    <t>Institutleader/Head of Research</t>
  </si>
  <si>
    <t>Rate Catalog - incl. Salary and price increase</t>
  </si>
  <si>
    <t>Monthly Salary</t>
  </si>
  <si>
    <t>Cost Price</t>
  </si>
  <si>
    <t>Student help</t>
  </si>
  <si>
    <t>TAP/Other masters degree</t>
  </si>
  <si>
    <t>TAP/Other Masters degree</t>
  </si>
  <si>
    <t>Salary</t>
  </si>
  <si>
    <t>Salary and operations</t>
  </si>
  <si>
    <t>Operations</t>
  </si>
  <si>
    <t>None</t>
  </si>
  <si>
    <t>Travel</t>
  </si>
  <si>
    <t>External assistance/consultants</t>
  </si>
  <si>
    <t>Analysis internal</t>
  </si>
  <si>
    <t>Field operations, Research stations</t>
  </si>
  <si>
    <t>Livestock/stable operations</t>
  </si>
  <si>
    <t>Other</t>
  </si>
  <si>
    <t>Optional currency</t>
  </si>
  <si>
    <t>Data/IT employee</t>
  </si>
  <si>
    <t>Secretary salary</t>
  </si>
  <si>
    <t>Supplement to research administration TAP AGRO</t>
  </si>
  <si>
    <t>Supplement to research administration TAP QGG</t>
  </si>
  <si>
    <t>Supplement to research administration TAP FOOD</t>
  </si>
  <si>
    <t>Supplement to research administration operations FOOD</t>
  </si>
  <si>
    <t>Supplement to research administration operations AGRO</t>
  </si>
  <si>
    <t>Supplement to research administration operations QGG</t>
  </si>
  <si>
    <t>Institute</t>
  </si>
  <si>
    <t>Overheadsrate</t>
  </si>
  <si>
    <t>Overhead calculated on</t>
  </si>
  <si>
    <t>Yearly hours</t>
  </si>
  <si>
    <t>Description</t>
  </si>
  <si>
    <t>Supplement to research administration calculated by</t>
  </si>
  <si>
    <t>Currency</t>
  </si>
  <si>
    <t>Job functions</t>
  </si>
  <si>
    <t>Rate</t>
  </si>
  <si>
    <t>AU Standard (to be used unless other is stated)</t>
  </si>
  <si>
    <t>Total TAP-months</t>
  </si>
  <si>
    <t>Operations Total</t>
  </si>
  <si>
    <t>VIP-salary</t>
  </si>
  <si>
    <t>VIP-salary total</t>
  </si>
  <si>
    <t>TAP-salary total</t>
  </si>
  <si>
    <t>Salary total</t>
  </si>
  <si>
    <t>Operations total</t>
  </si>
  <si>
    <t>Salary + operations</t>
  </si>
  <si>
    <t>Choose VIP and insert count of months</t>
  </si>
  <si>
    <t>Choose TAP and insert count of months</t>
  </si>
  <si>
    <t>Total VIP-months</t>
  </si>
  <si>
    <t>TAP-salary</t>
  </si>
  <si>
    <t>Scrap-value</t>
  </si>
  <si>
    <t>H2020</t>
  </si>
  <si>
    <t>NIFA - LBST</t>
  </si>
  <si>
    <t>ARLA</t>
  </si>
  <si>
    <t>Funder</t>
  </si>
  <si>
    <t>OH rate</t>
  </si>
  <si>
    <t>Avg. hourly rate</t>
  </si>
  <si>
    <t>Total hours</t>
  </si>
  <si>
    <t>Choose Operation category and insert amount</t>
  </si>
  <si>
    <t>BCE</t>
  </si>
  <si>
    <t>CAE</t>
  </si>
  <si>
    <t>ECE</t>
  </si>
  <si>
    <t>MPE</t>
  </si>
  <si>
    <t>Bench Fee (only at NNF)</t>
  </si>
  <si>
    <t>Column1</t>
  </si>
  <si>
    <t>Supplement to research administration TAP ANIVET</t>
  </si>
  <si>
    <t>Supplement to research administration operations ANIVET</t>
  </si>
  <si>
    <t>ANIVET</t>
  </si>
  <si>
    <t>Total cost</t>
  </si>
  <si>
    <t>Horizon Europe</t>
  </si>
  <si>
    <t>Bench Fee</t>
  </si>
  <si>
    <t>Project supplement</t>
  </si>
  <si>
    <t>Project supplement or Bench Fee</t>
  </si>
  <si>
    <t>Project-supplement/Bench Fee</t>
  </si>
  <si>
    <t>Project-supplement</t>
  </si>
  <si>
    <t>Project Supplement</t>
  </si>
  <si>
    <t>Hvis der tastes en medarbejder inkl. Kostpris ind, så skriv PhD I kolonne B, idet den så medtages I forskningsadministrationsberegningen</t>
  </si>
  <si>
    <t>Hvis der tastes en medarbejder inkl. Kostpris ind, så skriv Laborant, Tekniker eller TAP/Ørig kandidatuddannet I kolonne B, idet den så medtages I forskningsadministrationsberegningen</t>
  </si>
  <si>
    <t>Type of budget</t>
  </si>
  <si>
    <t>Co-financing covered by department</t>
  </si>
  <si>
    <t>External funding</t>
  </si>
  <si>
    <t>Choose type of operations</t>
  </si>
  <si>
    <t>ECOS</t>
  </si>
  <si>
    <t>ENVS</t>
  </si>
  <si>
    <t>DCE</t>
  </si>
  <si>
    <t>GDPR Related</t>
  </si>
  <si>
    <t>Yes</t>
  </si>
  <si>
    <t>No</t>
  </si>
  <si>
    <t>Ph.D. Tuition Fee</t>
  </si>
  <si>
    <t>Analysis external</t>
  </si>
  <si>
    <t>Misc. Operation/purchases/Consumables</t>
  </si>
  <si>
    <t>Section</t>
  </si>
  <si>
    <t>Projecttitle and acronym</t>
  </si>
  <si>
    <t>Grant source</t>
  </si>
  <si>
    <t>Instrument</t>
  </si>
  <si>
    <t>GDPR-related</t>
  </si>
  <si>
    <t>Participants from the dept.</t>
  </si>
  <si>
    <t>Project start</t>
  </si>
  <si>
    <t>Short project description</t>
  </si>
  <si>
    <t>Partners within AU(name and dept.)</t>
  </si>
  <si>
    <t>Partners outside AU</t>
  </si>
  <si>
    <t>Planned new recruitment of named scientific staff (CV enclosed)</t>
  </si>
  <si>
    <t>     </t>
  </si>
  <si>
    <t>Special remarks to budget</t>
  </si>
  <si>
    <t>Applied amount total incl. partners and overhead</t>
  </si>
  <si>
    <t>Applied amount to the dept. incl. overhead</t>
  </si>
  <si>
    <t>Co-financing external funded</t>
  </si>
  <si>
    <t>Source of co-financing (name projects)</t>
  </si>
  <si>
    <t>PhD Tuition Fee share to dept.</t>
  </si>
  <si>
    <t>Date:</t>
  </si>
  <si>
    <t>Name</t>
  </si>
  <si>
    <t>Review of application internal in the dept. (name and date)</t>
  </si>
  <si>
    <t>Status</t>
  </si>
  <si>
    <t>Submitted</t>
  </si>
  <si>
    <t>Project end</t>
  </si>
  <si>
    <t>Notes</t>
  </si>
  <si>
    <t>Success probability</t>
  </si>
  <si>
    <t>Economist</t>
  </si>
  <si>
    <r>
      <t>Projecttitle and acronym:</t>
    </r>
    <r>
      <rPr>
        <b/>
        <sz val="10"/>
        <color rgb="FFFF0000"/>
        <rFont val="Arial"/>
        <family val="2"/>
      </rPr>
      <t>*</t>
    </r>
  </si>
  <si>
    <t>Coverage</t>
  </si>
  <si>
    <t>- Special legal remark, if any</t>
  </si>
  <si>
    <t>- Contract/agremment review by</t>
  </si>
  <si>
    <r>
      <t xml:space="preserve">Core Project Ratio
</t>
    </r>
    <r>
      <rPr>
        <sz val="8"/>
        <rFont val="Verdana"/>
        <family val="2"/>
      </rPr>
      <t>This indicator focuses solely on the project's core budget</t>
    </r>
  </si>
  <si>
    <t>Department</t>
  </si>
  <si>
    <t>Cost Coverage salary</t>
  </si>
  <si>
    <t>Depreciations</t>
  </si>
  <si>
    <t>Procurements</t>
  </si>
  <si>
    <r>
      <t>Department:</t>
    </r>
    <r>
      <rPr>
        <b/>
        <sz val="10"/>
        <color rgb="FFFF0000"/>
        <rFont val="Arial"/>
        <family val="2"/>
      </rPr>
      <t>*</t>
    </r>
  </si>
  <si>
    <t>Department co-financing others</t>
  </si>
  <si>
    <t>Other relevant information</t>
  </si>
  <si>
    <t>Cost Coverage others</t>
  </si>
  <si>
    <t>Department co-financing salary</t>
  </si>
  <si>
    <t xml:space="preserve">Cost Coverage depreciation </t>
  </si>
  <si>
    <t>Procurement external funding</t>
  </si>
  <si>
    <t>Depreciation covered by dept. due to exp. of project period</t>
  </si>
  <si>
    <t>Experiements(Fields, Barn, Workshops)- budget cleared with manager (Yes/No)</t>
  </si>
  <si>
    <t>BUDGET</t>
  </si>
  <si>
    <t>Indicate page number(please list if more than one)</t>
  </si>
  <si>
    <t>Documents for signature(yes/no)</t>
  </si>
  <si>
    <t>Advise in project (Commercial projects), i.e. a report(yes/no)</t>
  </si>
  <si>
    <t>Is the project description/quotation quality assured by DCE/DCA(yes/no)</t>
  </si>
  <si>
    <t>Legal Review(yes/no)
If yes:</t>
  </si>
  <si>
    <r>
      <t xml:space="preserve">Project Overhead &amp; Cost Coverage
</t>
    </r>
    <r>
      <rPr>
        <sz val="8"/>
        <rFont val="Verdana"/>
        <family val="2"/>
      </rPr>
      <t>This indicator focuses solely on the project's core budget</t>
    </r>
  </si>
  <si>
    <t>Supplement to research administration TAP BCE</t>
  </si>
  <si>
    <t>Supplement to research administration TAP CAE</t>
  </si>
  <si>
    <t>Supplement to research administration TAP DCA</t>
  </si>
  <si>
    <t>Supplement to research administration TAP DCE</t>
  </si>
  <si>
    <t>Supplement to research administration TAP ECE</t>
  </si>
  <si>
    <t>Supplement to research administration TAP ECOS</t>
  </si>
  <si>
    <t>Supplement to research administration TAP ENVS</t>
  </si>
  <si>
    <t>Supplement to research administration TAP ICROFS</t>
  </si>
  <si>
    <t>Supplement to research administration TAP MPE</t>
  </si>
  <si>
    <t>VIP months for calculation of secretary time - Coverage</t>
  </si>
  <si>
    <t>VIP months for calculation of secretary time - Co-financing by department</t>
  </si>
  <si>
    <t>Supplement to research administration operations BCE</t>
  </si>
  <si>
    <t>Supplement to research administration operations CAE</t>
  </si>
  <si>
    <t>Supplement to research administration operations DCA</t>
  </si>
  <si>
    <t>Supplement to research administration operations DCE</t>
  </si>
  <si>
    <t>Supplement to research administration operations ECE</t>
  </si>
  <si>
    <t>Supplement to research administration operations ECOS</t>
  </si>
  <si>
    <t>Supplement to research administration operations ENVS</t>
  </si>
  <si>
    <t>Supplement to research administration operations ICROFS</t>
  </si>
  <si>
    <t>Supplement to research administration operations MPE</t>
  </si>
  <si>
    <t>TAP Lab technicians &amp; Technicians months - Coverage</t>
  </si>
  <si>
    <t>TAP Lab technicians &amp; Technicians months - Co-financing by department</t>
  </si>
  <si>
    <t>Laboratory technician</t>
  </si>
  <si>
    <t>Technician</t>
  </si>
  <si>
    <t>De 3 tabeller hænger sammen og må ikke sorteres enkeltvis</t>
  </si>
  <si>
    <t>Carlsbergfondet</t>
  </si>
  <si>
    <t>AUFF - Aarhus Universitets Forskningsfond</t>
  </si>
  <si>
    <t>NNF - Novo Nordisk Fonden</t>
  </si>
  <si>
    <t>Villum Fonden</t>
  </si>
  <si>
    <t>DFF - Danmarks Frie Forskningsfond</t>
  </si>
  <si>
    <t>IFD - Innovationsfonden</t>
  </si>
  <si>
    <t>EUDP - Energistyrelsen</t>
  </si>
  <si>
    <t>MUDP - Miljøstyrelsen</t>
  </si>
  <si>
    <t>Danida</t>
  </si>
  <si>
    <t>15. Juni Fonden</t>
  </si>
  <si>
    <t>Aage V. Jensen Fonden</t>
  </si>
  <si>
    <t>MAF - Mælkeafgiftsfonden</t>
  </si>
  <si>
    <t>SAF - Svineafgiftsfonden</t>
  </si>
  <si>
    <t>FRØ - Frøafgiftsfonden</t>
  </si>
  <si>
    <t>EDF - European Defence Fund</t>
  </si>
  <si>
    <t>EIT - European Institute of Innovation &amp; Technology</t>
  </si>
  <si>
    <t>GUDP - Landbrugsstyrelsen</t>
  </si>
  <si>
    <t>Klimastøtte - Energistyrelsen</t>
  </si>
  <si>
    <t>Miljøstøtte - Miljøstyrelsen</t>
  </si>
  <si>
    <t>Velux Fonden</t>
  </si>
  <si>
    <t>Lundbeck Fonden</t>
  </si>
  <si>
    <t>LEO Foundation</t>
  </si>
  <si>
    <t>Tenure Track - high rate</t>
  </si>
  <si>
    <t>Research Assistent - avr. rate</t>
  </si>
  <si>
    <t>Research Assistent - low rate</t>
  </si>
  <si>
    <t>Tenure Track - avr. rate</t>
  </si>
  <si>
    <t>Laboratory technician - avr. rate</t>
  </si>
  <si>
    <t>Laboratory technician - low rate</t>
  </si>
  <si>
    <t>Technician - avr. rate</t>
  </si>
  <si>
    <t>Technician - low rate</t>
  </si>
  <si>
    <t>Other TAP - avr. rate</t>
  </si>
  <si>
    <t>Other Technical assistance TAP - Coverage</t>
  </si>
  <si>
    <t>Other Technical assistance TAP - Co-financing covered by department</t>
  </si>
  <si>
    <t>Lab rent and use of equipment - Coverage</t>
  </si>
  <si>
    <t>CGB</t>
  </si>
  <si>
    <t>CROP</t>
  </si>
  <si>
    <t>JORD</t>
  </si>
  <si>
    <t>JORNÆR</t>
  </si>
  <si>
    <t>KLIMA</t>
  </si>
  <si>
    <t>Land-CRAFT</t>
  </si>
  <si>
    <t>STAB</t>
  </si>
  <si>
    <t>SYSTEM</t>
  </si>
  <si>
    <t>BSW</t>
  </si>
  <si>
    <t>CAF</t>
  </si>
  <si>
    <t>GHH</t>
  </si>
  <si>
    <t>MAMO</t>
  </si>
  <si>
    <t>MONU</t>
  </si>
  <si>
    <t>RUN</t>
  </si>
  <si>
    <t>Environmental Technology Engineering</t>
  </si>
  <si>
    <t>Industrial Biotechnology</t>
  </si>
  <si>
    <t>Medical Biotechnology</t>
  </si>
  <si>
    <t>Process and Materials Engineering</t>
  </si>
  <si>
    <t>BIO</t>
  </si>
  <si>
    <t>Building Science</t>
  </si>
  <si>
    <t>Design and Construction</t>
  </si>
  <si>
    <t>Structural Dynamics</t>
  </si>
  <si>
    <t>Structural Engineering</t>
  </si>
  <si>
    <t>CHEM</t>
  </si>
  <si>
    <t>CS</t>
  </si>
  <si>
    <t>Biomedical Engineering</t>
  </si>
  <si>
    <t>Communication, Control and Automation</t>
  </si>
  <si>
    <t>Electrical Energy Technology</t>
  </si>
  <si>
    <t>Electronics and Photonics</t>
  </si>
  <si>
    <t>Signal Processing and Machine Learning</t>
  </si>
  <si>
    <t>Software Engineering and Computing Systems</t>
  </si>
  <si>
    <t>AppMar</t>
  </si>
  <si>
    <t>ArcEco</t>
  </si>
  <si>
    <t>ArcEnv</t>
  </si>
  <si>
    <t>BioCon</t>
  </si>
  <si>
    <t>CatchEnv</t>
  </si>
  <si>
    <t>LakeEco</t>
  </si>
  <si>
    <t>MarDiv</t>
  </si>
  <si>
    <t>MarEco</t>
  </si>
  <si>
    <t>MarMam</t>
  </si>
  <si>
    <t>TerEco</t>
  </si>
  <si>
    <t>WildEco</t>
  </si>
  <si>
    <t>ATMI</t>
  </si>
  <si>
    <t>EMCIF</t>
  </si>
  <si>
    <t>ESGO</t>
  </si>
  <si>
    <t>MITO</t>
  </si>
  <si>
    <t>GEO</t>
  </si>
  <si>
    <t>INANO</t>
  </si>
  <si>
    <t>MATH</t>
  </si>
  <si>
    <t>MBG</t>
  </si>
  <si>
    <t>BiRC</t>
  </si>
  <si>
    <t>Cellular Health, Intervention, and Nutrition</t>
  </si>
  <si>
    <t>Neurobiology</t>
  </si>
  <si>
    <t>Plant Molecular Biology</t>
  </si>
  <si>
    <t>Protein Sciences</t>
  </si>
  <si>
    <t>RNA Biology and Innovation</t>
  </si>
  <si>
    <t>DEMA</t>
  </si>
  <si>
    <t>FLEN</t>
  </si>
  <si>
    <t>INSTITUT</t>
  </si>
  <si>
    <t>MEDY</t>
  </si>
  <si>
    <t>MEMA</t>
  </si>
  <si>
    <t>PHYS</t>
  </si>
  <si>
    <t>Aarhus Institute of Advanced Studies</t>
  </si>
  <si>
    <t>Aarhus Universitets Forskningsfond</t>
  </si>
  <si>
    <t>Flagship</t>
  </si>
  <si>
    <t>Forskningsophold i Møllehuset og Husumgade</t>
  </si>
  <si>
    <t>International mobilitet</t>
  </si>
  <si>
    <t>NOVA</t>
  </si>
  <si>
    <t>Recruiting grants</t>
  </si>
  <si>
    <t>Support for courses and group meetings Sandbjerg Estate</t>
  </si>
  <si>
    <t>Support for publications</t>
  </si>
  <si>
    <t>AU strategiske midler</t>
  </si>
  <si>
    <t>Danmarks Grundforskningsfond</t>
  </si>
  <si>
    <t>Department of Environmental Science</t>
  </si>
  <si>
    <t>Det danske SDC-sekretariat</t>
  </si>
  <si>
    <t>Forskningsrådet for Natur og Univers</t>
  </si>
  <si>
    <t>Lundbeckfonden</t>
  </si>
  <si>
    <t>LF Postdocs</t>
  </si>
  <si>
    <t>Norges Forskningsråd</t>
  </si>
  <si>
    <t>ST strategiske midler</t>
  </si>
  <si>
    <t>Danida Fellowship Centre</t>
  </si>
  <si>
    <t>Danish Centre for Environment and Energy</t>
  </si>
  <si>
    <t>Danish Diabetes Academy</t>
  </si>
  <si>
    <t>Danish e-infrastructure</t>
  </si>
  <si>
    <t>Danmarks Tekniske Universitet</t>
  </si>
  <si>
    <t>Dansk Center for Havforskning</t>
  </si>
  <si>
    <t>Dansk Energi Net</t>
  </si>
  <si>
    <t>Danske Regioner</t>
  </si>
  <si>
    <t>Energinet.dk</t>
  </si>
  <si>
    <t>Energistyrelsen</t>
  </si>
  <si>
    <t>Erhvervsstyrelsen</t>
  </si>
  <si>
    <t>EUDP-sekretariatet</t>
  </si>
  <si>
    <t>Fjerkræafgiftsfonden</t>
  </si>
  <si>
    <t>Fonden for Økologisk Landbrug</t>
  </si>
  <si>
    <t>Forskningsrådet for Sundhed og Sygdom</t>
  </si>
  <si>
    <t>Forskningsrådet for Teknologi og Produktion</t>
  </si>
  <si>
    <t>Frøafgiftsfonden</t>
  </si>
  <si>
    <t>GEUS</t>
  </si>
  <si>
    <t>Grønlands Naturinstitut</t>
  </si>
  <si>
    <t>InnovationsFonden</t>
  </si>
  <si>
    <t>Kartoffelafgiftsfonden</t>
  </si>
  <si>
    <t>Københavns Universitet</t>
  </si>
  <si>
    <t>Kulturarvsstyrelsen</t>
  </si>
  <si>
    <t>Kvægafgiftsfonden</t>
  </si>
  <si>
    <t>Landbrugs- og Fiskeristyrelsen</t>
  </si>
  <si>
    <t>Mælkeafgiftsfonden</t>
  </si>
  <si>
    <t>Miljø- og Fødevareministeriet</t>
  </si>
  <si>
    <t>Miljøstyrelsen</t>
  </si>
  <si>
    <t>Nationalt Forsvarsteknologisk Center</t>
  </si>
  <si>
    <t>Naturstyrelsen</t>
  </si>
  <si>
    <t>Odense Universitetshospital</t>
  </si>
  <si>
    <t>Pelsdyrafgiftsfonden</t>
  </si>
  <si>
    <t>Planteafgiftsfonden</t>
  </si>
  <si>
    <t>Promilleafgiftsfonden for landbrug</t>
  </si>
  <si>
    <t>Råstofdirektoratet</t>
  </si>
  <si>
    <t>Region Midtjylland</t>
  </si>
  <si>
    <t>Svineafgiftsfonden</t>
  </si>
  <si>
    <t>Syddansk Universitet</t>
  </si>
  <si>
    <t>Uddannelses- og Forskningsministeriet</t>
  </si>
  <si>
    <t>Undervisningsministeriet</t>
  </si>
  <si>
    <t>Videncenter for Landbrug</t>
  </si>
  <si>
    <t>Centres of Excellence</t>
  </si>
  <si>
    <t>Chair</t>
  </si>
  <si>
    <t>Agro Business Park A/S</t>
  </si>
  <si>
    <t>Arla Foods</t>
  </si>
  <si>
    <t>BASF A/S</t>
  </si>
  <si>
    <t>Bayer A/S</t>
  </si>
  <si>
    <t>Dagmar Marshalls Fond</t>
  </si>
  <si>
    <t>Danmarks Jægerforbund</t>
  </si>
  <si>
    <t>Dansk Gartneri</t>
  </si>
  <si>
    <t>DLG Food Oil</t>
  </si>
  <si>
    <t>DONG A/S</t>
  </si>
  <si>
    <t>DOW AgroSciences</t>
  </si>
  <si>
    <t>DuPont Nutrition Biosciences ApS</t>
  </si>
  <si>
    <t>Grosserer L. F. Foghts fond</t>
  </si>
  <si>
    <t>Grundfos Management A/S</t>
  </si>
  <si>
    <t>Haldor Topsøe A/S</t>
  </si>
  <si>
    <t>Hortiadvice</t>
  </si>
  <si>
    <t>IV</t>
  </si>
  <si>
    <t>Kongskilde Industries A/S</t>
  </si>
  <si>
    <t>Kopenhagen Fur</t>
  </si>
  <si>
    <t>Mærsk Olie og Gas A/S</t>
  </si>
  <si>
    <t>Neye-Fonden</t>
  </si>
  <si>
    <t>Nordisk Avlsværdivurdering NAV</t>
  </si>
  <si>
    <t>Novo Nordisk A/S</t>
  </si>
  <si>
    <t>Novo Nordisk Fonden</t>
  </si>
  <si>
    <t>Novozymes</t>
  </si>
  <si>
    <t>R. Riisfort A/S</t>
  </si>
  <si>
    <t>SEGES P/S</t>
  </si>
  <si>
    <t>Vattenfall A/S</t>
  </si>
  <si>
    <t>Viking Genetics</t>
  </si>
  <si>
    <t>A.J. Andersen og Hustrus Fond</t>
  </si>
  <si>
    <t>A.P. Møller og Hustrus Fond</t>
  </si>
  <si>
    <t>Aage og Johanne Louis-Hansens Fond</t>
  </si>
  <si>
    <t>Aage V. Jensens Fonde</t>
  </si>
  <si>
    <t>Aase og Ejnar Danielsens Fond</t>
  </si>
  <si>
    <t>Arvid Nilssons Fond</t>
  </si>
  <si>
    <t>Augustinus Fonden</t>
  </si>
  <si>
    <t>Børnecancerfonden</t>
  </si>
  <si>
    <t>Brødrene Hartmanns fond</t>
  </si>
  <si>
    <t>Carl og Ellen Hertz' legat til Dansk Læge- og Naturvidenskab</t>
  </si>
  <si>
    <t>Conferences</t>
  </si>
  <si>
    <t>Field Trips / Research Stays at Foreign Institutions</t>
  </si>
  <si>
    <t>Internationalisation Fellowships</t>
  </si>
  <si>
    <t>Monograph Fellowships</t>
  </si>
  <si>
    <t>Publication</t>
  </si>
  <si>
    <t>Reintegration Fellowships</t>
  </si>
  <si>
    <t>Research Infrastructure</t>
  </si>
  <si>
    <t>Semper Ardens: Accelerate</t>
  </si>
  <si>
    <t>Semper Ardens: Accomplish</t>
  </si>
  <si>
    <t>Semper Ardens: Advance</t>
  </si>
  <si>
    <t>Civilingeniør Frode V. Nyegaard og Hustrus Fond</t>
  </si>
  <si>
    <t>COWIfonden</t>
  </si>
  <si>
    <t>Dansk Kræftforskningsfond</t>
  </si>
  <si>
    <t>Det Obelske Familiefond</t>
  </si>
  <si>
    <t>Direktør Emil C. Hertz og hustru Inger Hertz' Fond</t>
  </si>
  <si>
    <t>Direktør Ib Henriksens Fond</t>
  </si>
  <si>
    <t>Edith og Olfert Dines Hansens Legat</t>
  </si>
  <si>
    <t>Einar Willumsens Mindelegat</t>
  </si>
  <si>
    <t>Ellab-Fonden</t>
  </si>
  <si>
    <t>Fonden til Lægevidenskabens Fremme</t>
  </si>
  <si>
    <t>Frode V. Nyegaard Hustrus Fond</t>
  </si>
  <si>
    <t>Gigtforeningen</t>
  </si>
  <si>
    <t>Gluds legat</t>
  </si>
  <si>
    <t>Harboefonden</t>
  </si>
  <si>
    <t>Hede Nielsens Fond</t>
  </si>
  <si>
    <t>Helga og Peter Kornings Fond</t>
  </si>
  <si>
    <t>Helsefonden</t>
  </si>
  <si>
    <t>Hjerteforeningen</t>
  </si>
  <si>
    <t>Hørslev-Fonden</t>
  </si>
  <si>
    <t>Karen Elise Jensens Fond</t>
  </si>
  <si>
    <t>Knud og Edith Eriksens Mindefond</t>
  </si>
  <si>
    <t>Kong Christian den Tiendes Fond</t>
  </si>
  <si>
    <t>Kræftens Bekæmpelse</t>
  </si>
  <si>
    <t>Biological, Translational and Clinical Cancer Research</t>
  </si>
  <si>
    <t>Lauritzen Fonden</t>
  </si>
  <si>
    <t>Leo Fondet</t>
  </si>
  <si>
    <t>Collaborative Projects</t>
  </si>
  <si>
    <t>LF &amp; NIH BRAIN Initiative</t>
  </si>
  <si>
    <t>LF Ascending Investigators</t>
  </si>
  <si>
    <t>LF Experiment</t>
  </si>
  <si>
    <t>LF Fellow</t>
  </si>
  <si>
    <t>LF Professors</t>
  </si>
  <si>
    <t>Visiting Professorships</t>
  </si>
  <si>
    <t>Mejeribrugets forskningsfond</t>
  </si>
  <si>
    <t>Nordea Danmark Fonden</t>
  </si>
  <si>
    <t>Ascending Investigator within Plant Science, Agriculture and Food Biotechnology</t>
  </si>
  <si>
    <t>Challenge Programme</t>
  </si>
  <si>
    <t>Conferences and workshops</t>
  </si>
  <si>
    <t>Distinguished Innovator Grant</t>
  </si>
  <si>
    <t>Distinguished Investigator</t>
  </si>
  <si>
    <t>Emerging Investigator Grant within Plant Science, Agriculture and Food Biotechnology</t>
  </si>
  <si>
    <t>Excellence Emerging Investigator Grant within Endocrinology and Metabolism – Nordic</t>
  </si>
  <si>
    <t>Exploratory Interdisciplinary Synergy Programme</t>
  </si>
  <si>
    <t>Hallas-Møller Ascending Investigator</t>
  </si>
  <si>
    <t>Hallas-Møller Emerging Investigator</t>
  </si>
  <si>
    <t>Industrial PhD</t>
  </si>
  <si>
    <t>Interdisciplinary Synergy Programme</t>
  </si>
  <si>
    <t>NERD - New Exploratory Research and Discovery</t>
  </si>
  <si>
    <t>NNF Laureate Research Grant</t>
  </si>
  <si>
    <t>NNF Young Investigator Award</t>
  </si>
  <si>
    <t>Pioneer Innovator Grant</t>
  </si>
  <si>
    <t>Plant Science, Agriculture and Food Biotechnology - Postdoctoral Fellowships</t>
  </si>
  <si>
    <t>Postdoc Fellowships for Research Abroad, Bioscience and Basic Biomedicine</t>
  </si>
  <si>
    <t>Project Grants for research within Industrial Biotechnology and Environmental Biotechnology</t>
  </si>
  <si>
    <t>Project Grants for research within Plant Science, Agriculture and Food Biotechnology</t>
  </si>
  <si>
    <t>Project Grants in Bioscience and Basic Biomedicine</t>
  </si>
  <si>
    <t>Project Grants in Clinical and Translational Medicine</t>
  </si>
  <si>
    <t>Project Grants in Endocrinology and Metabolism – Nordic</t>
  </si>
  <si>
    <t>Project Grants in the Natural and Technical Sciences</t>
  </si>
  <si>
    <t>RECRUIT</t>
  </si>
  <si>
    <t>Oticon Fonden</t>
  </si>
  <si>
    <t>Parkinsonforeningen</t>
  </si>
  <si>
    <t>Poul Due Jensen Fonden</t>
  </si>
  <si>
    <t>Realdania</t>
  </si>
  <si>
    <t>Riisfort Fonden</t>
  </si>
  <si>
    <t>Scleroseforeningen</t>
  </si>
  <si>
    <t>Simon Spies Fonden</t>
  </si>
  <si>
    <t>SPARK Denmark</t>
  </si>
  <si>
    <t>Torben og Alice Frimodts Fond</t>
  </si>
  <si>
    <t>Toyota-Fonden</t>
  </si>
  <si>
    <t>TrygFonden</t>
  </si>
  <si>
    <t>Hav i balance</t>
  </si>
  <si>
    <t>Major national ophthalmology projects</t>
  </si>
  <si>
    <t>Young Investigator</t>
  </si>
  <si>
    <t>Villum Experiment</t>
  </si>
  <si>
    <t>Villum Synergy</t>
  </si>
  <si>
    <t>Villum Kann Rasmussen Fonden</t>
  </si>
  <si>
    <t>International Postdoc</t>
  </si>
  <si>
    <t>Professorships</t>
  </si>
  <si>
    <t>Villum Investigator</t>
  </si>
  <si>
    <t>Vissing Fonden</t>
  </si>
  <si>
    <t>BONUS Science for a better</t>
  </si>
  <si>
    <t>European Defence Fund</t>
  </si>
  <si>
    <t>Horizon Europe Other</t>
  </si>
  <si>
    <t>International Collaborations</t>
  </si>
  <si>
    <t>Horizon Europe Pillar I Excellent Science ERC</t>
  </si>
  <si>
    <t>Consolidator Grant</t>
  </si>
  <si>
    <t>Proof of Concept</t>
  </si>
  <si>
    <t>Starting Grant</t>
  </si>
  <si>
    <t>Synergy Grant</t>
  </si>
  <si>
    <t>Horizon Europe Pillar I Excellent Science MSCA</t>
  </si>
  <si>
    <t>Horizon Europe Pillar I Excellent Science Other</t>
  </si>
  <si>
    <t>Horizon Europe Pillar II Global Challenges</t>
  </si>
  <si>
    <t>Horizon Europe Pillar III Innovative Europe</t>
  </si>
  <si>
    <t>Lund University</t>
  </si>
  <si>
    <t>Alexion Pharmaceuticals</t>
  </si>
  <si>
    <t>Bayer AB</t>
  </si>
  <si>
    <t>Cobb-Vantress Incorporated</t>
  </si>
  <si>
    <t>GENO SA</t>
  </si>
  <si>
    <t>Google</t>
  </si>
  <si>
    <t>Innovation Marketing Adisseo, France SAS</t>
  </si>
  <si>
    <t>Lantmännen Food R&amp;D</t>
  </si>
  <si>
    <t>Microsoft</t>
  </si>
  <si>
    <t>Novo Nordisk Scandinavia AB</t>
  </si>
  <si>
    <t>Actinobac Biomed Inc.</t>
  </si>
  <si>
    <t>Faunafonds</t>
  </si>
  <si>
    <t>Fondation Idella</t>
  </si>
  <si>
    <t>HKR Hogskolan Kristianstad</t>
  </si>
  <si>
    <t>Human Frontier Science Program Organization</t>
  </si>
  <si>
    <t>ITI Foundation</t>
  </si>
  <si>
    <t>John Templeton Foundation</t>
  </si>
  <si>
    <t>Nordic Cancer Union</t>
  </si>
  <si>
    <t>NOVA University Network</t>
  </si>
  <si>
    <t>Progeria Research Foundation</t>
  </si>
  <si>
    <t>The Michael J.Fox Foundation for Parkinson´s Reseach</t>
  </si>
  <si>
    <t>Vlaams Instituut voor de Zee</t>
  </si>
  <si>
    <t>Volkswagen Stiftung</t>
  </si>
  <si>
    <t>ASC Utrecht University</t>
  </si>
  <si>
    <t>European Space Agency</t>
  </si>
  <si>
    <t>NordForsk (Norden)</t>
  </si>
  <si>
    <t>Nordisk Kulturfond</t>
  </si>
  <si>
    <t>Nordisk Ministerråd</t>
  </si>
  <si>
    <t>Nordregio</t>
  </si>
  <si>
    <t>Office of Naval Research</t>
  </si>
  <si>
    <t>Forskningsrådet for Kultur og Kommunikation</t>
  </si>
  <si>
    <t>Research projects 1</t>
  </si>
  <si>
    <t>Research projects 2</t>
  </si>
  <si>
    <t>Sapere Aude: DFF Starting Grant</t>
  </si>
  <si>
    <t>Forskningsrådet for Samfund og Erhverv</t>
  </si>
  <si>
    <t>Tematisk Forskning</t>
  </si>
  <si>
    <t>Digitale teknologier</t>
  </si>
  <si>
    <t>Grøn forskning</t>
  </si>
  <si>
    <t>Tidlig indsats</t>
  </si>
  <si>
    <t>Industrial Postdoc</t>
  </si>
  <si>
    <t>InnoBooster</t>
  </si>
  <si>
    <t>InnoExplorer</t>
  </si>
  <si>
    <t>Innomission</t>
  </si>
  <si>
    <t>AUID</t>
  </si>
  <si>
    <r>
      <t>Is the project GDPR related</t>
    </r>
    <r>
      <rPr>
        <b/>
        <sz val="10"/>
        <color rgb="FFFF0000"/>
        <rFont val="Arial"/>
        <family val="2"/>
      </rPr>
      <t>*</t>
    </r>
  </si>
  <si>
    <t>EBIT</t>
  </si>
  <si>
    <t>If Project Kind is Indtægtsdækket Virksomhed choose 2</t>
  </si>
  <si>
    <t>Does AU have a monopoly on the activity</t>
  </si>
  <si>
    <t>Has the activity been put out to tender</t>
  </si>
  <si>
    <t>Alex Bech Rasmussen</t>
  </si>
  <si>
    <t>Alice Mørup</t>
  </si>
  <si>
    <t>Anita Porsdal</t>
  </si>
  <si>
    <t>Astrid Hulgaard Jørgensen</t>
  </si>
  <si>
    <t>Britt Sønberg Vilstrup</t>
  </si>
  <si>
    <t>Britta Breinbjerg Andersen</t>
  </si>
  <si>
    <t>Carsten Sødrup</t>
  </si>
  <si>
    <t>Christina Mangaard Jørgensen</t>
  </si>
  <si>
    <t>Dorte Fink Pedersen</t>
  </si>
  <si>
    <t>Dorte Sørensen</t>
  </si>
  <si>
    <t>Esben Christiansen</t>
  </si>
  <si>
    <t>Hanne Amtrup</t>
  </si>
  <si>
    <t>Helle Holmberg</t>
  </si>
  <si>
    <t>Helle Vestrup</t>
  </si>
  <si>
    <t>Henrik Wrem</t>
  </si>
  <si>
    <t>Iben Barbara Krog</t>
  </si>
  <si>
    <t>Jacob Damgaard Nielsen</t>
  </si>
  <si>
    <t>Jakob Steen Olesen</t>
  </si>
  <si>
    <t>Jeanett Lehd Busk Frederiksen</t>
  </si>
  <si>
    <t>Joakim Vestergaard</t>
  </si>
  <si>
    <t>Jonas Secher</t>
  </si>
  <si>
    <t>Julie Green Christensen</t>
  </si>
  <si>
    <t>Kenneth Pilgaard Søjberg</t>
  </si>
  <si>
    <t>Kent Rævsgaard Trab</t>
  </si>
  <si>
    <t>Kim Byrialsen Hovgaard</t>
  </si>
  <si>
    <t>Kristian Pedersen</t>
  </si>
  <si>
    <t>Lea Sass Otte</t>
  </si>
  <si>
    <t>Lene Fuglsang</t>
  </si>
  <si>
    <t>Lene Høgenhof Kristensen</t>
  </si>
  <si>
    <t>Line Sørensen</t>
  </si>
  <si>
    <t>Mai Toft Jakobsen</t>
  </si>
  <si>
    <t>Maja Bay Christiansen</t>
  </si>
  <si>
    <t>Majbritt Andersen</t>
  </si>
  <si>
    <t>Maria Norup Maarbjerg</t>
  </si>
  <si>
    <t>Merete Kamp Mailloux</t>
  </si>
  <si>
    <t>Mie Gaardsted Nielsen</t>
  </si>
  <si>
    <t>Milla Kathrine Scott</t>
  </si>
  <si>
    <t>Nanna Lehmann Brundtø</t>
  </si>
  <si>
    <t>Natalja Kamaltdinova Hansen</t>
  </si>
  <si>
    <t>Naveen Surendran Pulendran</t>
  </si>
  <si>
    <t>Nelly Schack Nielsen</t>
  </si>
  <si>
    <t>Pernille Leth Stentov</t>
  </si>
  <si>
    <t>Pia Merethe Nissen</t>
  </si>
  <si>
    <t>Pinar Dogan</t>
  </si>
  <si>
    <t>Rana Elahmad</t>
  </si>
  <si>
    <t>Rebekka Jacobsen</t>
  </si>
  <si>
    <t>Rikke Schultz Gjerulff</t>
  </si>
  <si>
    <t>Susanna Holm Nielsen</t>
  </si>
  <si>
    <t>Susanne Dahl</t>
  </si>
  <si>
    <t>Susanne Høj</t>
  </si>
  <si>
    <t>Susanne Vestergaard Nielsen</t>
  </si>
  <si>
    <t>Thomas Ramlov</t>
  </si>
  <si>
    <t>Tina Torp Andersen</t>
  </si>
  <si>
    <t>Trine Rom Engholm</t>
  </si>
  <si>
    <t>If no, please type the name of the coordinator</t>
  </si>
  <si>
    <t>Project Overhead &amp; Cost Coverage</t>
  </si>
  <si>
    <t>External funding(Incl. coverage)</t>
  </si>
  <si>
    <t>Co-financing(department and external)</t>
  </si>
  <si>
    <t>Total budget to the dept. (incl. co-financing)</t>
  </si>
  <si>
    <t>Salary and operations excl. External assistance/consultants</t>
  </si>
  <si>
    <r>
      <t>Project supplement or Bench Fee:</t>
    </r>
    <r>
      <rPr>
        <b/>
        <sz val="10"/>
        <color rgb="FFFF0000"/>
        <rFont val="Arial"/>
        <family val="2"/>
      </rPr>
      <t>*</t>
    </r>
  </si>
  <si>
    <r>
      <t xml:space="preserve">Cover letter for management for externally funded projects
</t>
    </r>
    <r>
      <rPr>
        <b/>
        <sz val="10"/>
        <rFont val="Verdana"/>
        <family val="2"/>
      </rPr>
      <t xml:space="preserve">The green fields are to be filled in by the grant holder
The blue fields retrieve information from the WPs that have the same department as in D3 </t>
    </r>
  </si>
  <si>
    <t>Department co-financing</t>
  </si>
  <si>
    <t>Applicant AUID</t>
  </si>
  <si>
    <t>Grant Source</t>
  </si>
  <si>
    <t>Project Title</t>
  </si>
  <si>
    <t>Project Kind</t>
  </si>
  <si>
    <t>GDPR</t>
  </si>
  <si>
    <t>Consultancy</t>
  </si>
  <si>
    <t>Application
date</t>
  </si>
  <si>
    <t>Next update
expected</t>
  </si>
  <si>
    <t>Applied amount total,
incl. partners and overhead</t>
  </si>
  <si>
    <t>Applied amount to the dept.,
incl. overhead</t>
  </si>
  <si>
    <t>Applied amount to the dept.,
incl. overhead, 2025</t>
  </si>
  <si>
    <t>Applied amount to the dept.,
incl. overhead, 2026</t>
  </si>
  <si>
    <t>Applied amount to the dept.,
incl. overhead, 2027</t>
  </si>
  <si>
    <t>Applied amount to the dept.,
incl. overhead, 2028</t>
  </si>
  <si>
    <t>Applied amount to the dept.,
incl. overhead, 2029</t>
  </si>
  <si>
    <t>Applied amount to the dept.,
incl. overhead, 2030</t>
  </si>
  <si>
    <t>Applied amount to the dept.,
incl. overhead, 2031</t>
  </si>
  <si>
    <t>Applied amount to the dept.,
incl. overhead, 2032</t>
  </si>
  <si>
    <t>Applied amount to the dept.,
incl. overhead, 2033</t>
  </si>
  <si>
    <t>Applied amount to the dept.,
incl. overhead, 2034</t>
  </si>
  <si>
    <t>Applied coverage
of fixed costs 2025</t>
  </si>
  <si>
    <t>Applied coverage
of fixed costs 2026</t>
  </si>
  <si>
    <t>Applied coverage
of fixed costs 2027</t>
  </si>
  <si>
    <t>Applied coverage
of fixed costs 2028</t>
  </si>
  <si>
    <t>Applied coverage
of fixed costs 2029</t>
  </si>
  <si>
    <t>Applied coverage
of fixed costs 2030</t>
  </si>
  <si>
    <t>Applied coverage
of fixed costs 2031</t>
  </si>
  <si>
    <t>Applied coverage
of fixed costs 2032</t>
  </si>
  <si>
    <t>Applied coverage
of fixed costs 2033</t>
  </si>
  <si>
    <t>Applied coverage
of fixed costs 2034</t>
  </si>
  <si>
    <t>Co-financing from dept., 2025</t>
  </si>
  <si>
    <t>Co-financing from dept., 2026</t>
  </si>
  <si>
    <t>Co-financing from dept., 2027</t>
  </si>
  <si>
    <t>Co-financing from dept., 2028</t>
  </si>
  <si>
    <t>Co-financing from dept., 2029</t>
  </si>
  <si>
    <t>Co-financing from dept., 2030</t>
  </si>
  <si>
    <t>Co-financing from dept., 2031</t>
  </si>
  <si>
    <t>Co-financing from dept., 2032</t>
  </si>
  <si>
    <t>Co-financing from dept., 2033</t>
  </si>
  <si>
    <t>Co-financing from dept., 2034</t>
  </si>
  <si>
    <t>Overhead percentage</t>
  </si>
  <si>
    <t>Approved by
head of dept.</t>
  </si>
  <si>
    <t>Co-financing covered by other external funding</t>
  </si>
  <si>
    <t>YES</t>
  </si>
  <si>
    <t>Co-financing from department</t>
  </si>
  <si>
    <t>Emoji money</t>
  </si>
  <si>
    <t>Salary budget VIP/TAP</t>
  </si>
  <si>
    <r>
      <t>Grant Source:</t>
    </r>
    <r>
      <rPr>
        <b/>
        <sz val="10"/>
        <color rgb="FFFF0000"/>
        <rFont val="Arial"/>
        <family val="2"/>
      </rPr>
      <t>*</t>
    </r>
  </si>
  <si>
    <t>Department Co-financing (excl. overhead)</t>
  </si>
  <si>
    <t>AUD</t>
  </si>
  <si>
    <t>Australian dollars</t>
  </si>
  <si>
    <t>BRL</t>
  </si>
  <si>
    <t>Brazilian real</t>
  </si>
  <si>
    <t>BGN</t>
  </si>
  <si>
    <t>Bulgarian lev</t>
  </si>
  <si>
    <t>CAD</t>
  </si>
  <si>
    <t>Canadian dollars</t>
  </si>
  <si>
    <t>CNY</t>
  </si>
  <si>
    <t>Chinese yuan renminbi</t>
  </si>
  <si>
    <t>CZK</t>
  </si>
  <si>
    <t>Czech koruny</t>
  </si>
  <si>
    <t>Euro</t>
  </si>
  <si>
    <t>HKD</t>
  </si>
  <si>
    <t>Hong Kong dollars</t>
  </si>
  <si>
    <t>HUF</t>
  </si>
  <si>
    <t>Hungarian forints</t>
  </si>
  <si>
    <t>ISK</t>
  </si>
  <si>
    <t>Icelandic kronur</t>
  </si>
  <si>
    <t>INR</t>
  </si>
  <si>
    <t>Indian rupee</t>
  </si>
  <si>
    <t>IDR</t>
  </si>
  <si>
    <t>Indonesian rupiah</t>
  </si>
  <si>
    <t>ILS</t>
  </si>
  <si>
    <t>Israeli shekel</t>
  </si>
  <si>
    <t>JPY</t>
  </si>
  <si>
    <t>Japanese yen</t>
  </si>
  <si>
    <t>MYR</t>
  </si>
  <si>
    <t>Malaysian ringgit</t>
  </si>
  <si>
    <t>MXN</t>
  </si>
  <si>
    <t>Mexican peso</t>
  </si>
  <si>
    <t>NZD</t>
  </si>
  <si>
    <t>New Zealand dollars</t>
  </si>
  <si>
    <t>Norwegian kroner</t>
  </si>
  <si>
    <t>PHP</t>
  </si>
  <si>
    <t>Philippine peso</t>
  </si>
  <si>
    <t>PLN</t>
  </si>
  <si>
    <t>Polish zlotys</t>
  </si>
  <si>
    <t>GBP</t>
  </si>
  <si>
    <t>Pounds sterling</t>
  </si>
  <si>
    <t>RON</t>
  </si>
  <si>
    <t>Romanian leu</t>
  </si>
  <si>
    <t>XDR</t>
  </si>
  <si>
    <t>SDR (Calculated)</t>
  </si>
  <si>
    <t>SGD</t>
  </si>
  <si>
    <t>Singapore dollars</t>
  </si>
  <si>
    <t>ZAR</t>
  </si>
  <si>
    <t>South African rand</t>
  </si>
  <si>
    <t>KRW</t>
  </si>
  <si>
    <t>South Korean won</t>
  </si>
  <si>
    <t>Swedish kronor</t>
  </si>
  <si>
    <t>CHF</t>
  </si>
  <si>
    <t>Swiss francs</t>
  </si>
  <si>
    <t>THB</t>
  </si>
  <si>
    <t>Thai baht</t>
  </si>
  <si>
    <t>TRY</t>
  </si>
  <si>
    <t>Turkish lira</t>
  </si>
  <si>
    <t>US dollars</t>
  </si>
  <si>
    <t>currency.code</t>
  </si>
  <si>
    <t>currency.name</t>
  </si>
  <si>
    <t>currency.rate</t>
  </si>
  <si>
    <t>LastUpdated</t>
  </si>
  <si>
    <t>Workzone number (if already created)</t>
  </si>
  <si>
    <t xml:space="preserve">Project Co-financing </t>
  </si>
  <si>
    <t>Project Co-financing</t>
  </si>
  <si>
    <t>Beskrivelse</t>
  </si>
  <si>
    <t>Grant holder</t>
  </si>
  <si>
    <t>Insert overheads rate</t>
  </si>
  <si>
    <t>Insert yearly count of hours</t>
  </si>
  <si>
    <t>Overhead calculation basis</t>
  </si>
  <si>
    <t>Calculate tehcnical assis</t>
  </si>
  <si>
    <t>Is the project GDPR related</t>
  </si>
  <si>
    <t>EBIT(Only relevant if Grant Source="Indtægtsdækket Virks…..")</t>
  </si>
  <si>
    <t>Choose VIP/TAP and insert court of months</t>
  </si>
  <si>
    <t>Other Technical assistance TAP - Co-financing covered by department/external funding</t>
  </si>
  <si>
    <t>Laboratory support</t>
  </si>
  <si>
    <t>VIP-salary and TAP salary</t>
  </si>
  <si>
    <t>- VIP-salary total</t>
  </si>
  <si>
    <t>- TAP-salary total</t>
  </si>
  <si>
    <t>- Operations total</t>
  </si>
  <si>
    <t>- Overhead</t>
  </si>
  <si>
    <t>- Bench fee</t>
  </si>
  <si>
    <t>- Project supplement</t>
  </si>
  <si>
    <t>- EBIT</t>
  </si>
  <si>
    <t>Cover Letter</t>
  </si>
  <si>
    <t>AU-ID</t>
  </si>
  <si>
    <t>Applied amount total incl. partners and overheadq</t>
  </si>
  <si>
    <t xml:space="preserve">Applied amount to the dept. incl overhead </t>
  </si>
  <si>
    <t>Overhead/project supplement/Bench fee</t>
  </si>
  <si>
    <t>Cost Coverage Salary</t>
  </si>
  <si>
    <t>Department co financing salary</t>
  </si>
  <si>
    <t>Department co financing others</t>
  </si>
  <si>
    <t>(Dept. co-financing salary+Dept. co-financing others)/Total budget (incl. overhead)</t>
  </si>
  <si>
    <t xml:space="preserve">Project Overhead &amp; Cost Coverage
</t>
  </si>
  <si>
    <r>
      <t xml:space="preserve">
</t>
    </r>
    <r>
      <rPr>
        <sz val="8"/>
        <rFont val="Verdana"/>
        <family val="2"/>
      </rPr>
      <t>This indicator focuses solely on the project's core budget. 
Formel: Overhead/Projectsupplement/BenchFee+Cost Covarage salary+Cost Coverage others-Dept. co-financing salary-Dept. co-financing others)/(Applied amount to the dept. incl. Overhead-Overhead/Projectsupplement/BenchFee+Cost Covarage salary+Cost Coverage others+Department co-financing salary+Department co-financing others)</t>
    </r>
  </si>
  <si>
    <t xml:space="preserve">Core Project Ratio
</t>
  </si>
  <si>
    <t>This indicator focuses solely on the project's core budget.
Formlen: (Overhead/Projectsupplement/BenchFee+PhDtuitionFee to dept.-Dept. co-financing salary-Dept. co-financing others-Co-financing of the difference in hours-Depreciation covered by dept….)/Applied amount to the dept. incl. overhead</t>
  </si>
  <si>
    <t xml:space="preserve">Cost Coverage Ratio (Department Level)
</t>
  </si>
  <si>
    <r>
      <t>This indicator includes coverage for permanent VIP/TAP staff but excludes co-financing for permanent VIP/TAP staff
Formlen:</t>
    </r>
    <r>
      <rPr>
        <b/>
        <sz val="10"/>
        <color theme="1"/>
        <rFont val="Calibri"/>
        <family val="2"/>
        <scheme val="minor"/>
      </rPr>
      <t xml:space="preserve"> </t>
    </r>
    <r>
      <rPr>
        <sz val="10"/>
        <color theme="1"/>
        <rFont val="Calibri"/>
        <family val="2"/>
        <scheme val="minor"/>
      </rPr>
      <t>(Overhead/Projectsupplement/+BenchFee+Cost Coverage salary+Cost Coverage others+PhDtuitionFee to dept.-Dept. co-financing salary-Dept. co-financing others-Co-financing of the difference in hours-Depreciation covered by dept...)/Applied amount to the dept. incl. overhead</t>
    </r>
  </si>
  <si>
    <t xml:space="preserve">Cost Coverage Ratio (Project Level)
</t>
  </si>
  <si>
    <r>
      <t xml:space="preserve">
</t>
    </r>
    <r>
      <rPr>
        <sz val="8"/>
        <rFont val="Verdana"/>
        <family val="2"/>
      </rPr>
      <t>This indicator includes both the coverage for permanent VIP/TAP staff and co-financing for permanent VIP/TAP staff
Formlen: (Overhead/Projectsupplement/BenchFee+Cost Coverage Salary+Cost Coverage Others+PhDtuitionFee to department-Dept. co-financing others-Cofinancing of the difference in hours-Depreciation covered by dept...)/Applied amount to the dept. incl. overhead</t>
    </r>
  </si>
  <si>
    <t>Andet</t>
  </si>
  <si>
    <t>Kostpriser</t>
  </si>
  <si>
    <t>Lab rent and use of equipment - Co-financing covered by department</t>
  </si>
  <si>
    <t>If yes, provide a brief explanation of why 
AU has a monopoly on the activity. EBIT is changed to 0%</t>
  </si>
  <si>
    <t>Briefly describe how the activity is a natural extension of the 
departmnet's core activities</t>
  </si>
  <si>
    <t>Research Director - avr. rate</t>
  </si>
  <si>
    <t>Research Director - high rate</t>
  </si>
  <si>
    <t>Professor - avr. rate</t>
  </si>
  <si>
    <t>Professor - high rate</t>
  </si>
  <si>
    <t>Secretary</t>
  </si>
  <si>
    <t xml:space="preserve">Laboratory Support </t>
  </si>
  <si>
    <t xml:space="preserve">Overhead procent </t>
  </si>
  <si>
    <t>Kostpris/timenorm</t>
  </si>
  <si>
    <t>EBIT margen</t>
  </si>
  <si>
    <t>Monopol</t>
  </si>
  <si>
    <t>Totalt timeforbrug</t>
  </si>
  <si>
    <t>Direkte lønomkostninger</t>
  </si>
  <si>
    <t>Indirekte omkostninger</t>
  </si>
  <si>
    <t>Driftsomkostninger</t>
  </si>
  <si>
    <t>Aftalt pris</t>
  </si>
  <si>
    <t xml:space="preserve">Forventet resultat </t>
  </si>
  <si>
    <t>Videreforsendelse til partner</t>
  </si>
  <si>
    <t>Data til projektenheden</t>
  </si>
  <si>
    <t>Choose Currency</t>
  </si>
  <si>
    <t>PLEASE FILL THE GREEN CELLS</t>
  </si>
  <si>
    <t>Date/Name:</t>
  </si>
  <si>
    <t>Name (ReAp)</t>
  </si>
  <si>
    <t>Name(ReAp)</t>
  </si>
  <si>
    <t xml:space="preserve">Budget approved by controller(date and name) and name of the controller to be assigned to the project in ReAp </t>
  </si>
  <si>
    <t>Experiements(Fields, Barn, Workshops)- budget cleared with manager (Yes/No)
(Only relevant for ANIVET and AGRO)</t>
  </si>
  <si>
    <r>
      <t>Applicant:</t>
    </r>
    <r>
      <rPr>
        <b/>
        <sz val="10"/>
        <color rgb="FFFF0000"/>
        <rFont val="Arial"/>
        <family val="2"/>
      </rPr>
      <t>*</t>
    </r>
  </si>
  <si>
    <t>Applicant name</t>
  </si>
  <si>
    <t>Associate Professor - high rate</t>
  </si>
  <si>
    <t>Associate Professor - avr. rate</t>
  </si>
  <si>
    <t>Senior Researcher - high rate</t>
  </si>
  <si>
    <t>Senior Researcher - avr. rate</t>
  </si>
  <si>
    <t>Assistant Professor</t>
  </si>
  <si>
    <r>
      <t xml:space="preserve">Cost Coverage Ratio (Department Level)
</t>
    </r>
    <r>
      <rPr>
        <sz val="8"/>
        <rFont val="Verdana"/>
        <family val="2"/>
      </rPr>
      <t>This indicator includes both the coverage for permanent VIP/TAP staff and co-financing for permanent VIP/TAP staff</t>
    </r>
  </si>
  <si>
    <r>
      <t xml:space="preserve">Cost Coverage Ratio (Project Level)
</t>
    </r>
    <r>
      <rPr>
        <sz val="8"/>
        <rFont val="Verdana"/>
        <family val="2"/>
      </rPr>
      <t>This indicator includes coverage for permanent VIP/TAP staff but excludes co-financing for permanent VIP/TAP staff</t>
    </r>
  </si>
  <si>
    <t>Technical ass calculation basis</t>
  </si>
  <si>
    <t>OH calculation basis</t>
  </si>
  <si>
    <r>
      <t>Calculate technical ass. basis:</t>
    </r>
    <r>
      <rPr>
        <b/>
        <sz val="10"/>
        <color rgb="FFFF0000"/>
        <rFont val="Arial"/>
        <family val="2"/>
      </rPr>
      <t>*</t>
    </r>
  </si>
  <si>
    <t>If Project Kind is commercial activity choose 2</t>
  </si>
  <si>
    <t>Is the activity a direct extension of the departments core activity?</t>
  </si>
  <si>
    <t>Total  cost</t>
  </si>
  <si>
    <t>ALL budgets</t>
  </si>
  <si>
    <t>B1</t>
  </si>
  <si>
    <t>B2</t>
  </si>
  <si>
    <t>B3</t>
  </si>
  <si>
    <t>B4</t>
  </si>
  <si>
    <t>B5</t>
  </si>
  <si>
    <t>Is Applicant main coordinator of the project</t>
  </si>
  <si>
    <t>Projekttillæg Ja/Nej</t>
  </si>
  <si>
    <t>Long name</t>
  </si>
  <si>
    <t>Department of Agroecology</t>
  </si>
  <si>
    <t>Department of Animal and Veterinary Sciences</t>
  </si>
  <si>
    <t>Department of Biological and Chemical Engineering</t>
  </si>
  <si>
    <t>Department of Civil and Architectural Engineering</t>
  </si>
  <si>
    <t>Danish Centre for Food and Agriculture</t>
  </si>
  <si>
    <t>Department of Electrical and Computer Engineering</t>
  </si>
  <si>
    <t>Department of Ecoscience</t>
  </si>
  <si>
    <t>Department of Food Science</t>
  </si>
  <si>
    <t>International Centre for Research in Organic Food Systems</t>
  </si>
  <si>
    <t>Department of Mechanical and Production Engineering</t>
  </si>
  <si>
    <t>Center for Quantitative Genetics and Genomics</t>
  </si>
  <si>
    <t>Aarhus Universitetshospital</t>
  </si>
  <si>
    <t>Agouron Institute</t>
  </si>
  <si>
    <t>AgroParisTech</t>
  </si>
  <si>
    <t>Aliophtha A/S</t>
  </si>
  <si>
    <t>Alzheimer's Association</t>
  </si>
  <si>
    <t>Apple EMEIA Accounts payable</t>
  </si>
  <si>
    <t>Arcedi Biotech ApS</t>
  </si>
  <si>
    <t>Arts &amp; Humanities Research Council</t>
  </si>
  <si>
    <t>Autism Speaks</t>
  </si>
  <si>
    <t>BRGM</t>
  </si>
  <si>
    <t>Bill and Melinda Gates Foundation</t>
  </si>
  <si>
    <t>Brain&amp;Behavior Research Found</t>
  </si>
  <si>
    <t>CIMO</t>
  </si>
  <si>
    <t>Carlsberg Laboratory</t>
  </si>
  <si>
    <t>Choise Pharma</t>
  </si>
  <si>
    <t>Civilstyrelsen</t>
  </si>
  <si>
    <t>Climate Change AI</t>
  </si>
  <si>
    <t>Colgate-Palmolive A/S</t>
  </si>
  <si>
    <t>DERMADIS</t>
  </si>
  <si>
    <t>Danmarks Lungeforening</t>
  </si>
  <si>
    <t>Dansk Akvakultur</t>
  </si>
  <si>
    <t>Den Grønlandske Fond</t>
  </si>
  <si>
    <t>Dentosolve</t>
  </si>
  <si>
    <t>Diabetesforeningen</t>
  </si>
  <si>
    <t>Diet4life ApS</t>
  </si>
  <si>
    <t>Direktør Kurt Bønnelycke og hustru fru Grethe Bønnelyckes Fond</t>
  </si>
  <si>
    <t>ELCA Justice for Women</t>
  </si>
  <si>
    <t>EPA</t>
  </si>
  <si>
    <t>ESPU Administrative Coordinator</t>
  </si>
  <si>
    <t>Edward G. Johnson Fond</t>
  </si>
  <si>
    <t>Ekspeditionssekretær, cand. Jur. Torkil Steenbecks Legat</t>
  </si>
  <si>
    <t>European Foundation for the Study of Diabetes</t>
  </si>
  <si>
    <t>European Fur Breeders Ass.</t>
  </si>
  <si>
    <t>European Orthodontic Society</t>
  </si>
  <si>
    <t>European Skin Research Foundation</t>
  </si>
  <si>
    <t>European Spallation Source ESS AB</t>
  </si>
  <si>
    <t>Europlace Institute of Finance</t>
  </si>
  <si>
    <t>Federation of European Biochemical Societies</t>
  </si>
  <si>
    <t>Ferring Pharmaceuticals A/S</t>
  </si>
  <si>
    <t>Fondation Francois Sommer</t>
  </si>
  <si>
    <t>Fondation Leducq</t>
  </si>
  <si>
    <t>Fonden for Almen Praksis</t>
  </si>
  <si>
    <t>Fonden for Neurologisk Forskning</t>
  </si>
  <si>
    <t>Frichs A/S</t>
  </si>
  <si>
    <t>Fritz Thyssen Stiftung</t>
  </si>
  <si>
    <t>Gartneriet PKM A/S</t>
  </si>
  <si>
    <t>Geoscience Australia, Symonston, ACT 2609 Australia</t>
  </si>
  <si>
    <t>Global Biodiversity Facility</t>
  </si>
  <si>
    <t>Hilde Lund</t>
  </si>
  <si>
    <t>Hildur og Dagny Jakobsens Mindefond</t>
  </si>
  <si>
    <t>Idemitsu Petroleum Norge AS</t>
  </si>
  <si>
    <t>IfaÖ</t>
  </si>
  <si>
    <t>International Labour Office</t>
  </si>
  <si>
    <t>International Medical Geology Association</t>
  </si>
  <si>
    <t>International Registry of Pathology</t>
  </si>
  <si>
    <t>International Society for Pharmacoepidemiology</t>
  </si>
  <si>
    <t>InvivoGen SAS</t>
  </si>
  <si>
    <t>It-Vest</t>
  </si>
  <si>
    <t>Jascha Fonden</t>
  </si>
  <si>
    <t>Jenny and Anttik Wihuri foundation</t>
  </si>
  <si>
    <t>Kilian Water ApS</t>
  </si>
  <si>
    <t>Kirstens Anthonius Legat</t>
  </si>
  <si>
    <t>Klelund ApS</t>
  </si>
  <si>
    <t>Krista og Viggo Petersen Fond</t>
  </si>
  <si>
    <t>Kungl. Gustav Adolfs Akademien</t>
  </si>
  <si>
    <t>LIFE 2021-2027</t>
  </si>
  <si>
    <t>Lantbrukarnas Ekonomi AB</t>
  </si>
  <si>
    <t>Letterstedtska Foreningen</t>
  </si>
  <si>
    <t>Lundbeck A/S</t>
  </si>
  <si>
    <t>Læge Sofus Carl Emil Friis og hustru Olga Doris Friis' Legat</t>
  </si>
  <si>
    <t>Lægeforeningens Forskningsfond</t>
  </si>
  <si>
    <t>MADE foreningen</t>
  </si>
  <si>
    <t>Maria Dorthea og Holger From, Haderslevs Fond</t>
  </si>
  <si>
    <t>Marianne och Marcus Wallenbergs Stiftelse</t>
  </si>
  <si>
    <t>Marida Bennedetti</t>
  </si>
  <si>
    <t>Marie Borghild Bach</t>
  </si>
  <si>
    <t>Martha og Paul Kerrn-Jespersens fond</t>
  </si>
  <si>
    <t>Mizutani Foundation for glycoscience</t>
  </si>
  <si>
    <t>NCU</t>
  </si>
  <si>
    <t>Nebraska University</t>
  </si>
  <si>
    <t>Nokia Group</t>
  </si>
  <si>
    <t>Nordic Mining ASA</t>
  </si>
  <si>
    <t>Norges Geotekniske Institutt</t>
  </si>
  <si>
    <t>Norsk Forfattersentrum</t>
  </si>
  <si>
    <t>Norwegian University of Life Sciences</t>
  </si>
  <si>
    <t>Open Society Foundation</t>
  </si>
  <si>
    <t>Osteology Foundation</t>
  </si>
  <si>
    <t>Peace Research Institute Oslo</t>
  </si>
  <si>
    <t>Pearson Assessment and information AB</t>
  </si>
  <si>
    <t>Photocure ASA</t>
  </si>
  <si>
    <t>Plant Bioscience Limited</t>
  </si>
  <si>
    <t>Plant2food</t>
  </si>
  <si>
    <t>Povl M. Assens Fond</t>
  </si>
  <si>
    <t>Region Nordjylland</t>
  </si>
  <si>
    <t>Regionshospitalet Herning</t>
  </si>
  <si>
    <t>Riksbankens Jubileumsfond</t>
  </si>
  <si>
    <t>Rockwool Fonden</t>
  </si>
  <si>
    <t>Rosalie Petersens Fond</t>
  </si>
  <si>
    <t>Royal Norwegian</t>
  </si>
  <si>
    <t>Sanofi Genzyme</t>
  </si>
  <si>
    <t>Shionogi &amp; Co. LTD</t>
  </si>
  <si>
    <t>Snorrastofa</t>
  </si>
  <si>
    <t>Society for the Study Inborn</t>
  </si>
  <si>
    <t>Stanley Foundation Research Awards Program</t>
  </si>
  <si>
    <t>Statens serum institut</t>
  </si>
  <si>
    <t>Stichting Deltares</t>
  </si>
  <si>
    <t>Stiftelsen Clara Lachmanns Fond</t>
  </si>
  <si>
    <t>Stiftelsen Norsk institutt for studier av forsknin</t>
  </si>
  <si>
    <t>Stiftelsen Åforsk</t>
  </si>
  <si>
    <t>Sunheds- og ældreministeriet</t>
  </si>
  <si>
    <t>Sunstar Suisse SA</t>
  </si>
  <si>
    <t>Tandlægeforeningen</t>
  </si>
  <si>
    <t>Team Danmark</t>
  </si>
  <si>
    <t>Telormedix</t>
  </si>
  <si>
    <t>The American Cleaning Institute</t>
  </si>
  <si>
    <t>The Amoyotrophic Lateral Sclerosis Association</t>
  </si>
  <si>
    <t>The Endocrine Society</t>
  </si>
  <si>
    <t>The Hans Rausing Endangered Languages Project</t>
  </si>
  <si>
    <t>The John and Birthe Meyer Foundation</t>
  </si>
  <si>
    <t>The Laerdal Foundation for Acute Medicine</t>
  </si>
  <si>
    <t>The Thailand Research Fund</t>
  </si>
  <si>
    <t>The University of North Carolina at Chapel Hill</t>
  </si>
  <si>
    <t>The Wenner-Gren Foundation</t>
  </si>
  <si>
    <t>The Woods hole oceanographic institution</t>
  </si>
  <si>
    <t>The World Bank Group</t>
  </si>
  <si>
    <t>Thomas B. Thrige Fonden</t>
  </si>
  <si>
    <t>Ultragenyx Pharmaceutical Inc.</t>
  </si>
  <si>
    <t>Unilever Danmark A/S</t>
  </si>
  <si>
    <t>University of Wyoming</t>
  </si>
  <si>
    <t>Universum Communications</t>
  </si>
  <si>
    <t>VMware Foundation</t>
  </si>
  <si>
    <t>VOFO Voksenopplæringsforbundet</t>
  </si>
  <si>
    <t>Via University College</t>
  </si>
  <si>
    <t>Videncenter f. Svineproduktion</t>
  </si>
  <si>
    <t>Videreuddannelsregion Nord</t>
  </si>
  <si>
    <t>Vilhelm Pedersen og Hustrus Mindelegat</t>
  </si>
  <si>
    <t>Vækstforum Sjælland</t>
  </si>
  <si>
    <t>amfAR, The Foundation for AIDS Research</t>
  </si>
  <si>
    <t>GrantSource</t>
  </si>
  <si>
    <t>GROW</t>
  </si>
  <si>
    <t>Danish ERC-programme</t>
  </si>
  <si>
    <t>Pre-graduate scholarship</t>
  </si>
  <si>
    <t>Clinician scientist position</t>
  </si>
  <si>
    <t>Mennesker og samfund</t>
  </si>
  <si>
    <t>Læring og uddannelseskvalitet</t>
  </si>
  <si>
    <t>InnoFounder</t>
  </si>
  <si>
    <t>PhD Scholarships</t>
  </si>
  <si>
    <t>Postdoctoral Fellowships</t>
  </si>
  <si>
    <t>Workshops</t>
  </si>
  <si>
    <t>Research projects and research positions</t>
  </si>
  <si>
    <t>Brief scholarships</t>
  </si>
  <si>
    <t>Senior scholarships</t>
  </si>
  <si>
    <t>Pre-graduate scholarships</t>
  </si>
  <si>
    <t>Fleksible ph.d.-forløb</t>
  </si>
  <si>
    <t>Hejmdal lokaleleje</t>
  </si>
  <si>
    <t>Other Postdoctoral Fellowships</t>
  </si>
  <si>
    <t>Special Research Projects</t>
  </si>
  <si>
    <t>Visiting Fellowships at University of Oxford</t>
  </si>
  <si>
    <t>Projects</t>
  </si>
  <si>
    <t>Postdoc scholarships</t>
  </si>
  <si>
    <t>Part time postdoc scholarships</t>
  </si>
  <si>
    <t>PhD scholarships</t>
  </si>
  <si>
    <t>Psychosocial and Epidemiological Cancer Research</t>
  </si>
  <si>
    <t>NCU - Nordic Cancer Union</t>
  </si>
  <si>
    <t>Knæk Cancer</t>
  </si>
  <si>
    <t>Congresses and Symposiums</t>
  </si>
  <si>
    <t>Johannes Clemmesen Research Fund</t>
  </si>
  <si>
    <t>Spogårds Family Fund</t>
  </si>
  <si>
    <t>Larger international meetings and conferences</t>
  </si>
  <si>
    <t>LF Pre-Graduate Scholarships</t>
  </si>
  <si>
    <t>Stipends for Sabbatical Leave</t>
  </si>
  <si>
    <t>Travel Stipends</t>
  </si>
  <si>
    <t>Ascending Investigator Grant within Endocrinology and Metabolism – Nordic</t>
  </si>
  <si>
    <t>Borregaard Clinical Ascending Investigator</t>
  </si>
  <si>
    <t>Clinical Distinguished Investigator</t>
  </si>
  <si>
    <t>Clinical Emerging Investigator</t>
  </si>
  <si>
    <t>Distinguished Investigator Grant within Endocrinology and Metabolism – Nordic</t>
  </si>
  <si>
    <t>Investigator Initiated Clinical Trials</t>
  </si>
  <si>
    <t>PhD Scholarships in Nursing Research</t>
  </si>
  <si>
    <t>Postdoc Fellowships in Nursing Research</t>
  </si>
  <si>
    <t>Project Grants for Clinical Nursing Research</t>
  </si>
  <si>
    <t>RECRUIT Sabbatical</t>
  </si>
  <si>
    <t>Research Grants in General Practice</t>
  </si>
  <si>
    <t>Start Package Grants</t>
  </si>
  <si>
    <t>STENO Collaborative Grants</t>
  </si>
  <si>
    <t>Postdoctoral fellowship for ophthalmology researchers</t>
  </si>
  <si>
    <t>Pre-graduate scholarship for ophthalmology researchers</t>
  </si>
  <si>
    <t>Advanced Grant</t>
  </si>
  <si>
    <t>Circular Economy and Quality of Life</t>
  </si>
  <si>
    <t>Clean Energy Transition</t>
  </si>
  <si>
    <t>Climate Change Mitigation and Adaptation</t>
  </si>
  <si>
    <t>Nature &amp; Biodiversity</t>
  </si>
  <si>
    <t>Admin</t>
  </si>
  <si>
    <t>Human</t>
  </si>
  <si>
    <t>Plants</t>
  </si>
  <si>
    <t>Animal</t>
  </si>
  <si>
    <t>ABD</t>
  </si>
  <si>
    <t>PLANMIK</t>
  </si>
  <si>
    <t>au82350</t>
  </si>
  <si>
    <t>Anne Cathrine Lund Petersen</t>
  </si>
  <si>
    <t>au783390</t>
  </si>
  <si>
    <t>Adis Ramic</t>
  </si>
  <si>
    <t>au223105</t>
  </si>
  <si>
    <t>au505985</t>
  </si>
  <si>
    <t>Allan Bøge Ochwat</t>
  </si>
  <si>
    <t>au526752</t>
  </si>
  <si>
    <t>Alexia Lessing</t>
  </si>
  <si>
    <t>au569960</t>
  </si>
  <si>
    <t>au401218</t>
  </si>
  <si>
    <t>Allan Otto Wagner</t>
  </si>
  <si>
    <t>au247341</t>
  </si>
  <si>
    <t>au512150</t>
  </si>
  <si>
    <t>au236849</t>
  </si>
  <si>
    <t>au224104</t>
  </si>
  <si>
    <t>au265443</t>
  </si>
  <si>
    <t>au246059</t>
  </si>
  <si>
    <t>au419304</t>
  </si>
  <si>
    <t>au393589</t>
  </si>
  <si>
    <t>au261445</t>
  </si>
  <si>
    <t>Edita Nielsen</t>
  </si>
  <si>
    <t>au289402</t>
  </si>
  <si>
    <t>au416255</t>
  </si>
  <si>
    <t>Gitte Sloth</t>
  </si>
  <si>
    <t>au223021</t>
  </si>
  <si>
    <t>au223852</t>
  </si>
  <si>
    <t>au223823</t>
  </si>
  <si>
    <t>au223179</t>
  </si>
  <si>
    <t>au266733</t>
  </si>
  <si>
    <t>au223636</t>
  </si>
  <si>
    <t>Inge Harbo</t>
  </si>
  <si>
    <t>au196718</t>
  </si>
  <si>
    <t>Irene Hjortsberg</t>
  </si>
  <si>
    <t>au523245</t>
  </si>
  <si>
    <t>au222366</t>
  </si>
  <si>
    <t>au616436</t>
  </si>
  <si>
    <t>au411447</t>
  </si>
  <si>
    <t>Allan Jensen</t>
  </si>
  <si>
    <t>au590132</t>
  </si>
  <si>
    <t>au164720</t>
  </si>
  <si>
    <t>au7902</t>
  </si>
  <si>
    <t>Jens Rasmus Rønde</t>
  </si>
  <si>
    <t>au759776</t>
  </si>
  <si>
    <t>au237621</t>
  </si>
  <si>
    <t>Karina Larsen</t>
  </si>
  <si>
    <t>au283991</t>
  </si>
  <si>
    <t>au449757</t>
  </si>
  <si>
    <t>au732424</t>
  </si>
  <si>
    <t>Khatira Nadir</t>
  </si>
  <si>
    <t>au618976</t>
  </si>
  <si>
    <t>au595433</t>
  </si>
  <si>
    <t>au215377</t>
  </si>
  <si>
    <t>Karin Sutherland</t>
  </si>
  <si>
    <t>au784307</t>
  </si>
  <si>
    <t>au14955</t>
  </si>
  <si>
    <t>au276425</t>
  </si>
  <si>
    <t>au420833</t>
  </si>
  <si>
    <t>Lizi Keinicke Christensen</t>
  </si>
  <si>
    <t>au653865</t>
  </si>
  <si>
    <t>Louise Verner Machholdt</t>
  </si>
  <si>
    <t>au183673</t>
  </si>
  <si>
    <t>au600103</t>
  </si>
  <si>
    <t>au82744</t>
  </si>
  <si>
    <t>Lizzie Jensen</t>
  </si>
  <si>
    <t>au287536</t>
  </si>
  <si>
    <t>au256401</t>
  </si>
  <si>
    <t>au393421</t>
  </si>
  <si>
    <t>au557783</t>
  </si>
  <si>
    <t>Maria Flindt Alma</t>
  </si>
  <si>
    <t>au158137</t>
  </si>
  <si>
    <t>au565815</t>
  </si>
  <si>
    <t>au123898</t>
  </si>
  <si>
    <t>au155438</t>
  </si>
  <si>
    <t>Mette Møller Larsen</t>
  </si>
  <si>
    <t>au687705</t>
  </si>
  <si>
    <t>au528853</t>
  </si>
  <si>
    <t>Naida Bratovic</t>
  </si>
  <si>
    <t>au762607</t>
  </si>
  <si>
    <t>au567106</t>
  </si>
  <si>
    <t>au402040</t>
  </si>
  <si>
    <t>au459707</t>
  </si>
  <si>
    <t>au82857</t>
  </si>
  <si>
    <t>au223413</t>
  </si>
  <si>
    <t>au760646</t>
  </si>
  <si>
    <t>au530437</t>
  </si>
  <si>
    <t>au737204</t>
  </si>
  <si>
    <t>au523300</t>
  </si>
  <si>
    <t>Rikke Börjesson</t>
  </si>
  <si>
    <t>au203742</t>
  </si>
  <si>
    <t>au124839</t>
  </si>
  <si>
    <t>au265436</t>
  </si>
  <si>
    <t>au223112</t>
  </si>
  <si>
    <t>au395930</t>
  </si>
  <si>
    <t>au180936</t>
  </si>
  <si>
    <t>au122920</t>
  </si>
  <si>
    <t>Trine Thomsen</t>
  </si>
  <si>
    <t>au775767</t>
  </si>
  <si>
    <t>au759774</t>
  </si>
  <si>
    <t xml:space="preserve">Budget approved by controller (date and name) and name of the controller to be assigned to the project in ReAp </t>
  </si>
  <si>
    <t>&lt;- denne formel bruges til at finde unikke sektioner pba. valgt institut i CL</t>
  </si>
  <si>
    <t>&lt;- denne formel bruges til at finde unikke instruments pba. valgt grant source i CL</t>
  </si>
  <si>
    <r>
      <t xml:space="preserve">Project end </t>
    </r>
    <r>
      <rPr>
        <sz val="9"/>
        <rFont val="Verdana"/>
        <family val="2"/>
      </rPr>
      <t>(dd-mm-yyyy)</t>
    </r>
  </si>
  <si>
    <r>
      <t xml:space="preserve">Project start </t>
    </r>
    <r>
      <rPr>
        <sz val="9"/>
        <rFont val="Verdana"/>
        <family val="2"/>
      </rPr>
      <t>(dd-mm-yyyy)</t>
    </r>
  </si>
  <si>
    <r>
      <t xml:space="preserve">Deadline for application </t>
    </r>
    <r>
      <rPr>
        <sz val="9"/>
        <rFont val="Verdana"/>
        <family val="2"/>
      </rPr>
      <t>(dd-mm-yyyy)</t>
    </r>
  </si>
  <si>
    <r>
      <t xml:space="preserve">Next update expected </t>
    </r>
    <r>
      <rPr>
        <sz val="9"/>
        <rFont val="Verdana"/>
        <family val="2"/>
      </rPr>
      <t>(dd-mm-yyyy)</t>
    </r>
  </si>
  <si>
    <t>Add information in green cells.</t>
  </si>
  <si>
    <t>Overhead %</t>
  </si>
  <si>
    <t>Project supplement (Yes/No)</t>
  </si>
  <si>
    <t>After you have clicked 'Submit' and sent the email, you can click back to the cover letter.</t>
  </si>
  <si>
    <t>The grant source and/or instrument now appear on the cover letter.</t>
  </si>
  <si>
    <t>Nat-Tech.Finance.Application@au.dk</t>
  </si>
  <si>
    <r>
      <t>Project start date (DD-MM-YYYY)</t>
    </r>
    <r>
      <rPr>
        <b/>
        <sz val="10"/>
        <color rgb="FFFF0000"/>
        <rFont val="Arial"/>
        <family val="2"/>
      </rPr>
      <t>*</t>
    </r>
  </si>
  <si>
    <r>
      <t>Project end date (DD-MM-YYYY)</t>
    </r>
    <r>
      <rPr>
        <b/>
        <sz val="10"/>
        <color rgb="FFFF0000"/>
        <rFont val="Arial"/>
        <family val="2"/>
      </rPr>
      <t>*</t>
    </r>
  </si>
  <si>
    <t>The project title must be filled in for the cover letter to be correctly completed</t>
  </si>
  <si>
    <t>A department must be selected from the list. It is possible to enter a department that is not on the list - in that case, the fields dependent on the department will be counted with value = 0</t>
  </si>
  <si>
    <t>The grant holder must be filled in for the cover letter to be correctly completed.</t>
  </si>
  <si>
    <t>When a 'Grant Source' is selected from the list, information about the overhead rate and hourly standard is automatically filled in. If a 'Grant Source' not on the list is entered, you must fill in the fields correctly yourself. Information about the overhead rate and hourly standard can be found in the 'Lister' sheet</t>
  </si>
  <si>
    <t>The field is automatically filled based on 'Grant Source'. You can overwrite the field with a different overhead rate or choose one from the list. However, note that if you overwrite or select another, the automatic correct filling function will be disabled. The calculation of overhead in the total budget depends on this field</t>
  </si>
  <si>
    <t>The field is automatically filled based on 'Grant Source'. You can overwrite the field with a different number of hours or choose one from the list. However, note that if you overwrite or select another, the automatic correct filling function will be disabled. The field affects the calculation of Total hours</t>
  </si>
  <si>
    <t>It is always pre-filled with Salary and operations. This has implications for which fields are used to calculate overhead. Currently, it is manually changed if it needs to be different.</t>
  </si>
  <si>
    <t>It is always pre-filled with Salary and operations. This affects whether supplements for technical assistance and lab rent, etc., are calculated. Currently, it is manually changed if it needs to be different</t>
  </si>
  <si>
    <t>The field is filled with yes or no. The information is used in the cover letter</t>
  </si>
  <si>
    <t>If the project is a sub-account 2 project 'Commercial Activity', the field must be filled with the value 2, otherwise it should be left blank</t>
  </si>
  <si>
    <t>The field is automatically filled when 2 is selected in the field 'If Project Kind is Income-Generating Activity...'. The value 10 is set by AU. A higher value can always be chosen. If a lower value is selected, it must be documented according to the rules for EBIT. If YES is chosen in the field 'Does AU have a monopoly on the activity', the value is automatically set to zero</t>
  </si>
  <si>
    <t>Choose yes or no.</t>
  </si>
  <si>
    <t>Select VIP or TAP job category in column A17-A39. Generally, job categories and rates are used. This has been decided by the TECH faculty management. If a grant provider requires named employees and costs, the controller can add this in the 'Rate sheet' tab. The controller must remember to inform the grant holder that this modified budget sheet is only to be used for this application</t>
  </si>
  <si>
    <t>The number of months is filled in under the current year</t>
  </si>
  <si>
    <t>Year</t>
  </si>
  <si>
    <t>It is possible to write a comment in the 'Comment' column - please include the name of the employee</t>
  </si>
  <si>
    <t>Select the cost category in fields A49-A59</t>
  </si>
  <si>
    <t>As a general rule, rates are used. This has been decided by the TECH faculty management. If a grant provider requires named employees and costs, the controller can add this in the 'Rate sheet' tab. The controller must remember to inform the grant holder that this modified budget sheet is only to be used for this application. The applied rates can be seen in the 'Rate sheet</t>
  </si>
  <si>
    <t>Months * selected number of hours in C7 / 12</t>
  </si>
  <si>
    <t>Total salary/total hours</t>
  </si>
  <si>
    <t>Overhead is calculated based on the choices made in 'Grant Source' + 'Insert overhead rate' + 'Overhead Calculation basis</t>
  </si>
  <si>
    <t>Bench fee is calculated based on the choices made in 'Project supplement and Bench Fee'. A bench fee is calculated for all VIP months *8000</t>
  </si>
  <si>
    <t>EBIT is calculated based on the choices made in the 'EBIT' field</t>
  </si>
  <si>
    <t>The sum of VIP salary where 'external funding' or 'Coverage' is selected in the 'Type of budget</t>
  </si>
  <si>
    <t>The sum of TAP salary where 'external funding' or 'Coverage' is selected in the 'Type of budget</t>
  </si>
  <si>
    <t>The sum of operations total where 'external funding' or 'Coverage' is selected in the 'Type of budget</t>
  </si>
  <si>
    <t>Bench fee is calculated based on the choices made in 'Project supplement and Bench Fee'. A bench fee is calculated for all VIP months * 8000</t>
  </si>
  <si>
    <t>Project supplement is calculated based on the choices made in 'Project supplement and Bench Fee'. Project supplements are given to Postdoc, PhD, and Research Assistant. Note: only from external funding</t>
  </si>
  <si>
    <t>The sum of VIP salary where 'co-financing by department' or 'co-financing by external funding' is selected in the 'Type of budget'</t>
  </si>
  <si>
    <t>The sum of TAP salary where 'co-financing by department' or 'co-financing by external funding' is selected in the 'Type of budget</t>
  </si>
  <si>
    <t>The sum of operations total where 'co-financing by department' or 'co-financing by external funding' is selected in the 'Type of budget</t>
  </si>
  <si>
    <t>No project supplement is calculated from co-financing</t>
  </si>
  <si>
    <t>The sum of VIP salary where 'coverage' is selected in the 'Type of budget</t>
  </si>
  <si>
    <t>Co-financing is not allowed on revenue-funded activities, so EBIT is not calculated</t>
  </si>
  <si>
    <t>The sum of TAP salary where 'coverage' is selected in the 'Type of budget</t>
  </si>
  <si>
    <t>The sum of operations total where 'coverage' is selected in the 'Type of budget</t>
  </si>
  <si>
    <t>The sum of VIP salary where 'co-financing by department' is selected in the 'Type of budget</t>
  </si>
  <si>
    <t>The sum of TAP salary where 'co-financing by department' is selected in the 'Type of budget</t>
  </si>
  <si>
    <t>The sum of operations total where 'co-financing by department' is selected in the 'Type of budget</t>
  </si>
  <si>
    <t>Co-financing is not allowed on revenue-funded activities, so EBIT is not calculated.</t>
  </si>
  <si>
    <t>Retrieved from B1</t>
  </si>
  <si>
    <t>The rolling list is retrieved from ReAp. If there are missing fields in the list, they should be added to the list in ReAp</t>
  </si>
  <si>
    <t>Entered Manually</t>
  </si>
  <si>
    <t>The rolling list from ReAp. If there are missing fields in the list, they should be added to ReAp</t>
  </si>
  <si>
    <t>If there are any comments on the budget that you would like the head of the department to consider, they should be written here. The comment will be transferred to the note field in ReAp</t>
  </si>
  <si>
    <t>The grant holder must indicate the total amount requested from the grant provider. It should only be the external funding but for all partners</t>
  </si>
  <si>
    <t>The difference between what is requested for tuition fees and marked as external funding and what is paid to GSTS (30,000)</t>
  </si>
  <si>
    <t>"AU's cost prices are used. As a starting point, 1 cost price per job category is used. Where it makes sense, 2 are used. As a starting point, the average rate and the high rate are used. But they are always compared to TECH's current calculated average rates, and where it makes sense, e.g., low and average rates can be used. Rates are updated once a year when they are received from AU Accounting (during March)</t>
  </si>
  <si>
    <t xml:space="preserve">Der skal vælges et institut fra listen.
Man kan godt skrive et institut, der ikke findes på listen - så vil de felter, der er afhængig af feltet blot regnes med værdi = 0.
</t>
  </si>
  <si>
    <t>Projekttitel skal udfyldes, så cover letter udfyldes korrekt.</t>
  </si>
  <si>
    <t>Grant holder skal udfyldes, så cover letter udfyldes korrekt.</t>
  </si>
  <si>
    <t>Når man vælger "Grant Source" fra listen, udfyldes oplysninger om overheadsats og timenorm. Hvis man skriver en "Grant Source", der ikke er på listen, skal man selv udfylde felterne korrekt.
Oplysninger om overhead sats og timenorm kan findes i arket Lister.</t>
  </si>
  <si>
    <t>Feltet udfyldes automatisk pba "Grant Source". Man kan godt overskrive feltet med en anden overhead sats, eller man kan vælge en fra listen. Bemærk dog, at overskriver man eller vælger en anden, så forsvinder funktionen med at den automatisk udfyldes korrekt. 
Udregning af overhead i total budgettet er afhængigt af dette felt.</t>
  </si>
  <si>
    <t>Feltet udfyldes automatisk pba "Grant Source". Man kan godt overskrive feltet med et andet timetal, eller man kan vælge et fra listen. Bemærk dog, at overskriver man eller vælger et andet, så forsvinder funktionen med at den automatisk udfyldes korrekt. 
Feltet påvirker udregningen af Total hours</t>
  </si>
  <si>
    <t>Er altid forudfyldt med Salary and operations. Har betydning for hvilke felter, der beregnes overhead af. Ændres p.t. manuelt hvis det skal være anderledes.</t>
  </si>
  <si>
    <t>Er altid forudfyldt med Salary and operations. Har betydning for om der beregnes tillæg til technical ass. and lab rent m.m. Ændres p.t. manuelt hvis det skal være anderledes.</t>
  </si>
  <si>
    <t>Feltet udfyldes med ja eller nej. Oplysningen bruges på cover letter.</t>
  </si>
  <si>
    <t>Hvis projektet er et delregnskab 2 projekt "Indtægtsdækket Virksomhed", skal feltet udfyldes med værdien 2, ellers skal den være blank.</t>
  </si>
  <si>
    <t>Feltet udfyldes automatisk, når der vælges 2 i feltet "If Project Kind is Indtægtsdækket Virksomhed….". Værdien 10 er fastsat af AU. Der kan altid vælges en højere værdi. Hvis der vælges en lavere værdi, skal det dokumenteres ifølge regelsættet for EBIT,..  Hvis der vælges YES I feltet "Does AU have a monopoly on the activity" sættes værdien automatisk til nul.</t>
  </si>
  <si>
    <t>Her skal kort beskrives, hvordan aktiviteten er en naturlig udløber af instituttets kerneaktiviteter.</t>
  </si>
  <si>
    <t>Der vælges VIP eller TAP stillingskategori i kolonne A17-A39. Der regnes som hovedregel med stillingskategorier og takster. Det er besluttet af TECH's fakultetsledelse. Hvis en bevillingsgiver kræver navngivne medarbejdere og kostpriser kan controlleren tilføje det i fanebladet "Takstblad". Controlleren skal huske at gøre bevillingshaver opmærksom på, at dette budgetskema med tilrettelser kun må bruges ved denne ansøgning.</t>
  </si>
  <si>
    <t xml:space="preserve">Antal måneder udfyldes under aktuelt årstal. </t>
  </si>
  <si>
    <t>Det er muligt at skrive en kommentar i kolonnen "Comment" - skriv gerne navn på medarbejderen.</t>
  </si>
  <si>
    <t xml:space="preserve">Det er vigtigt at denne udfyldes korrekt elles regnes budgettet ikke korrekt. Den er forudfyldt med "External funding". Hvis budgetposten evt. er medfinansiering eller inddækning, skal det vælges aktivt.
External funding: De omkostninger der søges dækket af eksterne midler og som ikke er inddækning.
Coverage: De omkostninger som er en del af instituttets eksisterende omkostninger som søges dækket af den eksterne bevilling. Eks. sekretær, laboratorieudgifter.
Co-financing covered by department: Medfinansiering som søges dækket af instituttets midler. Det kan både være eksisterende omkostninger og nye omkostninger.
Co-financing covered by external funding: Medfinansiering som dækkes af andre eksterne bevillinger. </t>
  </si>
  <si>
    <t>Ifølge instituttets retningslinjer.
Beregnes pba. alle VIP stillingstyper pånær PhD samt af TAP/Other masters degree.
Når der angives en VIP måneden, som er mærket External funding eller Coverage under "Type of budget" tillægges automatisk det bidrag, projektet skal betale til Technical assistance ifølge insituttets retningslinjer. Feltet er afhængig af, at feltet department er udfyldt korrekt. Taksterne for hvert institut kan ses i arket "Takstblad"</t>
  </si>
  <si>
    <t>Ifølge instituttets retningslinjer.
Beregnes pba. alle VIP stillingstyper pånær PhD samt af TAP/Other masters degree.
Når der angives en VIP måneden, som er mærket Co-financing covered by department eller Co-financing covered by external funding under type of budget tillægges automatisk det bidrag projektet, skal betale til Technical assistance ifølge insituttets retningslinjer. Feltet er afhængig af, at feltet department er udfyldt korrekt. Taksterne for hvert institut kan ses i arket "Takstblad"</t>
  </si>
  <si>
    <t>Der vælges omkostningskategori i felterne A49-A59</t>
  </si>
  <si>
    <t>Ifølge instituttets retningslinjer.
Beregnes pba. TAP stillingstyperne "Laboratory..."
Når der angives en TAP måneden, som er mærket External funding eller Coverage under Type of budget tillægges automatisk det bidrag projektet skal betale til Lab rent.... ifølge insituttets retningslinjer. Feltet er afhængig af at feltet department er udfyldt korrekt. Taksterne for hvert institut kan ses i arket "Takstblad"</t>
  </si>
  <si>
    <t>Måneder*valgt timetal I C7/12</t>
  </si>
  <si>
    <t>Total løn/total hours</t>
  </si>
  <si>
    <t>Overhead regnes pba de valg, der er foretaget i "Grant Source"+"Insert overhead rate"+"Overhead Calculation basis"</t>
  </si>
  <si>
    <t>Bench fee regnes pba de valg, der er foretaget i "Project supplement and Bench Fee". Der beregnes bench fee af alle VIP-mdr. *8000</t>
  </si>
  <si>
    <t>Project supplement regnes pba de valg, der er foretaget I "Project supplement and Bench Fee". Der gives projekt supplement til Postdoc, PhD og Research assistant. Bemærk kun af den eksterne finansiering</t>
  </si>
  <si>
    <t>EBIT regnes pba de valg, der er foretaget I feltet "EBIT"</t>
  </si>
  <si>
    <t>Summen af VIP salary, hvor der I Type of budget er valgt external funding or Coverage</t>
  </si>
  <si>
    <t>Summen af TAP salary, hvor der I Type of budget er valgt external funding or Coverage</t>
  </si>
  <si>
    <t>Summen af opreations total, hvor der I Type of budget er valgt external funding or Coverage</t>
  </si>
  <si>
    <t>Bench fee regnes pba de valg, der er foretaget i "Project supplement and Bench Fee". Der bergnes bench fee af alle VIP-mdr. *8000</t>
  </si>
  <si>
    <t>Summen af VIP salary, hvor der I Type of budget er valgt co-financing by department of co-financing by external funding</t>
  </si>
  <si>
    <t>Summen af TAP salary, hvor der I Type of budget er valgt co-financing by department of co-financing by external funding</t>
  </si>
  <si>
    <t>Summen af opreations total, hvor der I Type of budget er valgt co-financing by department of co-financing by external funding</t>
  </si>
  <si>
    <t>Der beregnes ikke project suppleent af co-financing</t>
  </si>
  <si>
    <t>Der må ikke medfinansieres på indtægtsdækket virksomhed, så EBIT regnes ikke</t>
  </si>
  <si>
    <t>Summen af VIP salary, hvor der I Type of budget er valgt coverage</t>
  </si>
  <si>
    <t>Summen af TAP salary, hvor der I Type of budget er valgt coverage</t>
  </si>
  <si>
    <t>Summen af opreations total, hvor der I Type of budget er valgt coverage</t>
  </si>
  <si>
    <t xml:space="preserve">Summen af VIP salary, hvor der I Type of budget er valgt co-financing by department </t>
  </si>
  <si>
    <t xml:space="preserve">Summen af TAP salary, hvor der I Type of budget er valgt co-financing by department </t>
  </si>
  <si>
    <t>Summen af opreations total, hvor der I Type of budget er valgt co-financing by department</t>
  </si>
  <si>
    <t xml:space="preserve">Rulleliste hentes fra ReAp. Hvis der mangler felter på listen, skal den tilføjes listen i ReAp. </t>
  </si>
  <si>
    <t>Tastes</t>
  </si>
  <si>
    <t>Rullelisten fra ReAp. Hvis der mangler felter på listen, skal den tilføjes ReAp.</t>
  </si>
  <si>
    <t>Rulleliste hentes fra ReAp. Hvis der mangler felter på listen, skal den tilføjes ReAp</t>
  </si>
  <si>
    <t>Hvis man evt. Har kommentarer til budgettet, som man ønsker institutleder skal forholde sig til, så skrives de her. Kommentaren overføres til note feltet i ReAp</t>
  </si>
  <si>
    <t>Bevillingshaver skal angive det totale beløb, der søges af bevillingsgiver. Det skal kun være den eksterne finansiering, men for alle partnere.</t>
  </si>
  <si>
    <t>Forskellen mellem hvad der er ansøgt til tuition fee og mærket external funding og hvad der betales til GSTS(30.000)</t>
  </si>
  <si>
    <t>Der anvendes AU's kostpriser. Der anvendes som udgangspkt. 1 kostpris pr. Stillingskategori. Hvor det giver mening anvendes der 2. Som udgangspkt. anvendes gennemsnitssatsen og den høje satsen. Men der samlignes altid til TECH's aktuelle beregnede gennemsnitssatser og hvor det giver mening kan eks anvendes lav og gennemsnitssats.
Satserne ajourføres 1 gang om året når de modtages fra AU Regnskab(i løbet af marts måned)</t>
  </si>
  <si>
    <t xml:space="preserve">Start med at udfylde dit budget i det blå ark "B1". Har du brug for at indtaste flere budgetter - eks. fordi projektet skal deles op i WP eller I er flere deltagere i projektet kan de næste budgetter tastes de blå ark "B2-B5". </t>
  </si>
  <si>
    <t>Arket "PE" anvendes af projektcontrollerne</t>
  </si>
  <si>
    <t>Når du har sendt din ansøgning til bevillingsgiver skal du sende denne samt ansøgningsbudgetskabelonen til postkassen "Nat-Tech Finance Application (nat-tech.finance.application@au.dk)" hvorfra ansøgningen vil blive lagt i ReAp og videresendt til din forretningscontroller/projektcontroller</t>
  </si>
  <si>
    <t>Total budget</t>
  </si>
  <si>
    <t>PE</t>
  </si>
  <si>
    <t>Add new grant source</t>
  </si>
  <si>
    <t>Guide to "Internal Application Form"</t>
  </si>
  <si>
    <t>For øvrig vejledning se beskrivelse af de enkelte felter nedenfor. Du er også altid velkommen til at spørge den forretningscontroller eller projektcontroller</t>
  </si>
  <si>
    <t>Fill out your budget in B1-B5</t>
  </si>
  <si>
    <t>Du kan se det totale budget i arket "Total" som er en sammentælling af "B1-B5"</t>
  </si>
  <si>
    <t>You can see the total budget in the sheet "Total" which is a summation of "B1-B5"</t>
  </si>
  <si>
    <t>Hvis du ønsker dit budget omregnet i en anden valuta kan du taste valutaen i arket "Total Other Currency"</t>
  </si>
  <si>
    <t>Another valuta</t>
  </si>
  <si>
    <t>Arket "Add new grant source" aktiveres når man trykker på knappen "Add new" i Cover letteret.</t>
  </si>
  <si>
    <t>Når du har udfyldt dit budget skal du udfylde det aktuelle Cover Letter. "Cover letter ING" skal bruges i institutterne BCE, ECE, CAE og MPE. De øvrige institutter skal anvende "Cover letter"</t>
  </si>
  <si>
    <t>Når du er færdig med at udfylde Cover Letter sender du ansøgningsbudgetskabelonen til din forretningscontroller eller projektcontroller. De vil tjekke dit budget ifølge gældende retningslinjer for bevillingsgiver og dit institut. Ydereligere godkendelse af budget og ansøgning skal følge dit instituts retningslinjer</t>
  </si>
  <si>
    <t>Once you have completed the Cover Letter, send the application budget template to your business controller or project controller. They will check your budget according to the applicable guidelines for the grant provider and your department. Further approval of the budget and application must follow your department’s guidelines</t>
  </si>
  <si>
    <t>Budget review</t>
  </si>
  <si>
    <t>Final application is sent to</t>
  </si>
  <si>
    <t>Additional guidance</t>
  </si>
  <si>
    <t>For additional guidance, see the description of the individual fields below. You are also always welcome to ask the business controller or project controller</t>
  </si>
  <si>
    <t>Is the activity a direct extension of the department's core activity</t>
  </si>
  <si>
    <t>A brief description should be provided here of how the activity is a natural extension of the department's core activities</t>
  </si>
  <si>
    <t>Sum of the total budget including co-financing of the B, where the same department as in B1 is selected</t>
  </si>
  <si>
    <t>Sum of the requested budget excluding co-financing from the B, where the same department as in B1 is selected</t>
  </si>
  <si>
    <t>Sum of the requested overhead/project supplement/Bench fee excluding co-financing from the B, where the same department as in B1 is selected</t>
  </si>
  <si>
    <t>Sum of the requested salary where 'type of budget' = Coverage from the B, where the same department as in B1 is selected</t>
  </si>
  <si>
    <t>Sum of the requested amount excluding salary where 'type of budget' = Coverage from the B, where the same department as in B1 is selected</t>
  </si>
  <si>
    <t>Sum of the salary where 'type of budget' = Co-financing by department from the B, where the same department as in B1 is selected</t>
  </si>
  <si>
    <t>Sum of the costs excluding salary where 'type of budget' = Co-financing by department, where the same department as in B1 is selected</t>
  </si>
  <si>
    <t>Sum of the requested procurement marked as external funding from the B, where the same department as in B1 is selected</t>
  </si>
  <si>
    <t>Sum of the requested scrap value marked as external funding from the B, where the same department as in B1 is selected</t>
  </si>
  <si>
    <t>Sum of the requested depreciations marked as coverage from the B, where the same department as in B1 is selected</t>
  </si>
  <si>
    <t>General</t>
  </si>
  <si>
    <t>Description of the individual fields</t>
  </si>
  <si>
    <t>Field</t>
  </si>
  <si>
    <t>Start by filling out your budget in the blue sheet 'B1'. If you need to enter more budgets - for example, because the project needs to be divided into WPs or there are multiple participants in the project, the next budgets can be entered in the blue sheets 'B2-B5'</t>
  </si>
  <si>
    <t>If you want your budget converted into another currency you can enter the currency in the sheet 'Total Other Currency'</t>
  </si>
  <si>
    <t>The sheet 'PE' is used by the project controllers</t>
  </si>
  <si>
    <t>The sheet 'Add new grant source' is activated when you press the 'Add new' button in the Cover letters</t>
  </si>
  <si>
    <t>Once you have filled out your budget you need to complete the appropriate Cover Letter. 'Cover letter ING' should be used in the departments BCE, ECE, CAE, and MPE. The other departments should use 'Cover letter'</t>
  </si>
  <si>
    <t>Once you have sent your application to the grant source you must send this along with the application budget template to the mailbox 'Nat-Tech Finance Application (nat-tech.finance.application@au.dk)' from where the application will be entered into ReAp and forwarded to your business controller/project controller</t>
  </si>
  <si>
    <t>Feltet udfyldes automatisk med projekttillæg pba "Grant Source". Det er Novo Nordisk, Villum, Velux, Carlsberg, Lundbeck og Leo der bevilliger projekttillæg. Man kan vælge Bench fee fra listen, hvis call'et angiver, at der skal søges om bench fee og ikke projekttillæg. Bemærk hvis der ikke er valgt en af de fonde, der giver projekttillæg eller bench fee, skal man sikre sig at feltet er udfyldt med none.</t>
  </si>
  <si>
    <t>The field is automatically filled with the project supplement based on 'Grant Source'. Novo Nordisk, Villum, Velux, Carlsberg, Lundbeck, and Leo provide project supplements. You can choose Bench fee from the list if the call indicates that a bench fee should be applied for instead of a project supplement. Note that if none of the foundations that provide project supplements or bench fees are selected, ensure that the field is filled with none</t>
  </si>
  <si>
    <t>Choose Yes or No. If Yes, a brief explanation of why AU has a monopoly on the activity must be written in the field next to it</t>
  </si>
  <si>
    <t>Vælg ja eller nej. Hvis Yes skal  der I feltet ved siden af skrives en kort begrundelse for at AU har monopol på aktiviteten</t>
  </si>
  <si>
    <t xml:space="preserve">Vælg yes or no. </t>
  </si>
  <si>
    <t>It is important that this field is filled in correctly; otherwise, the budget will not be calculated correctly. It is pre-filled with 'External funding'. If the budget item is co-financing or coverage, it must be selected actively.
External funding: The costs that are covered by external funds and are not coverage.
Coverage: The costs that are part of the department's existing expenses and are covered by the external grant. For example, secretary, laboratory expenses.
Co-financing covered by department: Co-financing that is covered by the department's funds. This can include both existing expenses and new expenses.
Co-financing covered by external funding: Co-financing that is covered by other external grants.</t>
  </si>
  <si>
    <t>According to the department's guidelines. 
Calculated based on all VIP job types except PhD and TAP/Other master's degree. When a VIP month is indicated as External funding or Coverage under 'Type of budget', the contribution that the project must pay for Technical assistance is automatically added according to the department's guidelines. This field depends on the department field being filled in correctly. The rates for each department can be seen in the 'Rate sheet'</t>
  </si>
  <si>
    <t>According to the department's guidelines. 
Calculated based on all VIP job types except PhD and TAP/Other master's degree. When a VIP month is indicated as Co-financing covered by department or Co-financing covered by external funding under type of budget, the contribution that the project must pay for Technical assistance is automatically added according to the department's guidelines. This field depends on the department field being filled in correctly. The rates for each department can be seen in the 'Rate sheet</t>
  </si>
  <si>
    <t>According to the department's guidelines.
Calculated based on the TAP job types 'Laboratory...' When a TAP month is indicated as External funding or Coverage under Type of budget, the contribution that the project must pay for Lab rent is automatically added according to the department's guidelines. This field depends on the department field being filled in correctly. The rates for each department can be seen in the 'Rate sheet</t>
  </si>
  <si>
    <t>Der regnes som hovedregel med takster. Det er besluttet af TECH's fakultetsledelse. Hvis en bevillingsgiver kræver navngivne medarbejdere og kostpriser kan controlleren tilføje det i fanebladet "Takstblad". Controlleren skal huske at gøre bevillingshaver opmærksom på, at dette budgetskema med tilrettelser kun må bruges ved denne ansøgning.
De anvendte takster kan ses i arket Takstblad</t>
  </si>
  <si>
    <t>Total  Cost</t>
  </si>
  <si>
    <t>Summen af VIP salary</t>
  </si>
  <si>
    <t xml:space="preserve">The total sum of VIP salary </t>
  </si>
  <si>
    <t xml:space="preserve">The total sum of TAP salary </t>
  </si>
  <si>
    <t xml:space="preserve">The total sum of operations </t>
  </si>
  <si>
    <t>Summen af TAP salary</t>
  </si>
  <si>
    <t>Summen af operations</t>
  </si>
  <si>
    <t>External funding (incl. coverage)</t>
  </si>
  <si>
    <t>Co-Financing(department and external)</t>
  </si>
  <si>
    <t>Co-Financing from department</t>
  </si>
  <si>
    <t>Total budget to the dept</t>
  </si>
  <si>
    <t xml:space="preserve">Hentes fra B1 </t>
  </si>
  <si>
    <t>Hentes fra B1</t>
  </si>
  <si>
    <t>Sum af total budget incl. medfinansering af de B, hvor der er valgt samme institut som I B1</t>
  </si>
  <si>
    <t>Sum af det ansøgte budget excl. medfinanisering fra de B, hvor der er valgt samme institut som I B1</t>
  </si>
  <si>
    <t>Sum af den ansøgte overhead/project supplement/Bench fee excl. medfinansiering fra de B, hvor der er valgt samme institut som I B1</t>
  </si>
  <si>
    <t>Sum af den ansøgte løn hvor type of budget = Coverage fra de B, hvor der er valgt samme institut som I B1</t>
  </si>
  <si>
    <t>Sum af den ansøgte beløb pånær løn hvor type of budget = Coverage fra de B, hvor der er valgt samme institut som I B1</t>
  </si>
  <si>
    <t>Sum af løn hvor type of budget = Co-finacing by department fra de B, hvor der er valgt samme institut som I B1</t>
  </si>
  <si>
    <t>Sum af omkostninger  pånær løn hvor type of budget = Co-financing by department, hvor der er valgt samme institut som I B1</t>
  </si>
  <si>
    <t>Sum af den ansøgte procuerment mærket external funding fra de B, hvor der er valgt samme institut som I B1</t>
  </si>
  <si>
    <t>Sum af den ansøgte scrapværdi mærket external funding fra de B, hvor der er valgt samme institut som I B1</t>
  </si>
  <si>
    <t>Sum af den ansøgte afskrivninger mærket coverage fra de B, hvor der er valgt samme institut som I B1</t>
  </si>
  <si>
    <t>Sum af total budget hvor type of budget = Co-financing by other external funding</t>
  </si>
  <si>
    <t>Sum of total budget where type of budget = Co-financing by other external funding</t>
  </si>
  <si>
    <t>The fields (row 11-15) below are to be filled out only if the project kind is a commercial activity (Indtægtsdækket virksomhed)</t>
  </si>
  <si>
    <t>"Choose job position"</t>
  </si>
  <si>
    <t>Project supplement is calculated based on the choices made in 'Project supplement and Bench Fee'. Project supplements are given to Postdoc, PhD, and Research Assistant. Note: only from external funding and coverage.</t>
  </si>
  <si>
    <t>Project supplement regnes pba de valg, der er foretaget I "Project supplement and Bench Fee". Der gives projekt supplement til Postdoc, PhD og Research assistant. Bemærk kun af den eksterne finansiering og inddækning</t>
  </si>
  <si>
    <t>PhD - High Rate</t>
  </si>
  <si>
    <t>PhD - Avr. Rate</t>
  </si>
  <si>
    <t>Research Assistent - avr. Rate</t>
  </si>
  <si>
    <t>Post Doc. - avr. rate</t>
  </si>
  <si>
    <t>Post Doc. - high rate</t>
  </si>
  <si>
    <t>PhD - high rate</t>
  </si>
  <si>
    <t>PhD - avr. rate</t>
  </si>
  <si>
    <t>Laboratory Support Ja/Nej</t>
  </si>
  <si>
    <r>
      <t>Calculate laboratory support</t>
    </r>
    <r>
      <rPr>
        <b/>
        <sz val="10"/>
        <color rgb="FFFF0000"/>
        <rFont val="Arial"/>
        <family val="2"/>
      </rPr>
      <t>*</t>
    </r>
  </si>
  <si>
    <t>Overhead/project supplement/BenchFee/EBIT</t>
  </si>
  <si>
    <t xml:space="preserve">Version: </t>
  </si>
  <si>
    <t>Ændringslog</t>
  </si>
  <si>
    <t>Dato:</t>
  </si>
  <si>
    <t>21.01.2025</t>
  </si>
  <si>
    <t>1.6</t>
  </si>
  <si>
    <t>Tilføjet ændringslog
Indsat tabulering i B1-B5</t>
  </si>
  <si>
    <t>According to the institute's guidelines, for every full-time equivalent (FTE) position budgeted for a Postdoc, Research Assistant, and PhD, the project must allocate 0.5 months for laboratory assistance. Additionally, for each TAP month, excluding students, secretary, data/IT, and Other TAP, the project must allocate 0.3 months for laboratory assistance. This calculation is only applicable to budgets based on external funding and coverage.</t>
  </si>
  <si>
    <t>Ifølge instituttets retningslinjer
For hvert årsværk der søges budget til Post doc, Research assistent og PhD skal projektet betale 0,5 mdr. til laboratorie bistand. Og for hver TAP-mdr. pånær student, secretary, data/IT og Other tap skal projektet betale 0,3 mdr. til laboratorie bistand. Beregnes kun for budget på external funding og coverage</t>
  </si>
  <si>
    <t>22.01.2025</t>
  </si>
  <si>
    <t>1.7</t>
  </si>
  <si>
    <t>Lab support inkluderer nu Secretary
Ændrer drop down list på TAP</t>
  </si>
  <si>
    <t>23.01.2025</t>
  </si>
  <si>
    <t>1.8</t>
  </si>
  <si>
    <t>Ændret formlen I celle B4 I budgetark
rettet fejl I other tech ass.
Slettet de 3,6 EBIT for RKS</t>
  </si>
  <si>
    <t>Exploratory Research Instrumentation</t>
  </si>
  <si>
    <t>William Demant Foundation</t>
  </si>
  <si>
    <t>Clean air fund</t>
  </si>
  <si>
    <t>Government of Canada</t>
  </si>
  <si>
    <t>The European Partnership for Radiation Protection Research</t>
  </si>
  <si>
    <t>Techcircle</t>
  </si>
  <si>
    <t>Global Arctic Leadership Initiative</t>
  </si>
  <si>
    <t>ATMO</t>
  </si>
  <si>
    <t>au101724</t>
  </si>
  <si>
    <t>Christian Gøtze Hoeg</t>
  </si>
  <si>
    <t>Lucas Jensen</t>
  </si>
  <si>
    <t>1,829</t>
  </si>
  <si>
    <t>8,29</t>
  </si>
  <si>
    <t>177,11</t>
  </si>
  <si>
    <t>446,76</t>
  </si>
  <si>
    <t>122,98</t>
  </si>
  <si>
    <t>381,52</t>
  </si>
  <si>
    <t>496,30</t>
  </si>
  <si>
    <t>99,01</t>
  </si>
  <si>
    <t>29,65</t>
  </si>
  <si>
    <t>746,18</t>
  </si>
  <si>
    <t>92,13</t>
  </si>
  <si>
    <t>5,086</t>
  </si>
  <si>
    <t>0,044</t>
  </si>
  <si>
    <t>200,59</t>
  </si>
  <si>
    <t>4,6349</t>
  </si>
  <si>
    <t>161,16</t>
  </si>
  <si>
    <t>34,74</t>
  </si>
  <si>
    <t>405,73</t>
  </si>
  <si>
    <t>63,57</t>
  </si>
  <si>
    <t>12,30</t>
  </si>
  <si>
    <t>892,47</t>
  </si>
  <si>
    <t>149,93</t>
  </si>
  <si>
    <t>936,69</t>
  </si>
  <si>
    <t>529,54</t>
  </si>
  <si>
    <t>38,54</t>
  </si>
  <si>
    <t>0,4953</t>
  </si>
  <si>
    <t>65,03</t>
  </si>
  <si>
    <t>789,69</t>
  </si>
  <si>
    <t>21,37</t>
  </si>
  <si>
    <t>20,02</t>
  </si>
  <si>
    <t>717,96</t>
  </si>
  <si>
    <t>NN ECE</t>
  </si>
  <si>
    <t>EU Horizon RIA ECE PhD Example</t>
  </si>
  <si>
    <t>Meetings/small equipment</t>
  </si>
  <si>
    <t>Conferences/field work</t>
  </si>
  <si>
    <t>Specific services that may need to be provided by another department or purchased datasets from Statistics Denmark</t>
  </si>
  <si>
    <t>Audit</t>
  </si>
  <si>
    <t>Hor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</si>
</sst>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60" x14ac:knownFonts="1">
    <font>
      <sz val="11"/>
      <name val="Arial"/>
    </font>
    <font>
      <sz val="11"/>
      <color theme="1"/>
      <name val="Calibri"/>
      <family val="2"/>
      <scheme val="minor"/>
    </font>
    <font>
      <sz val="11"/>
      <color theme="1"/>
      <name val="Calibri"/>
      <family val="2"/>
      <scheme val="minor"/>
    </font>
    <font>
      <sz val="8"/>
      <name val="Arial"/>
      <family val="2"/>
    </font>
    <font>
      <sz val="11"/>
      <name val="Arial"/>
      <family val="2"/>
    </font>
    <font>
      <b/>
      <sz val="11"/>
      <name val="Arial"/>
      <family val="2"/>
    </font>
    <font>
      <b/>
      <sz val="10"/>
      <name val="Arial"/>
      <family val="2"/>
    </font>
    <font>
      <sz val="10"/>
      <name val="Arial"/>
      <family val="2"/>
    </font>
    <font>
      <b/>
      <sz val="10"/>
      <color rgb="FFFF0000"/>
      <name val="Arial"/>
      <family val="2"/>
    </font>
    <font>
      <b/>
      <sz val="6"/>
      <name val="Arial"/>
      <family val="2"/>
    </font>
    <font>
      <sz val="10"/>
      <color indexed="10"/>
      <name val="Arial"/>
      <family val="2"/>
    </font>
    <font>
      <sz val="10"/>
      <color rgb="FFFF0000"/>
      <name val="Arial"/>
      <family val="2"/>
    </font>
    <font>
      <b/>
      <sz val="10"/>
      <color indexed="10"/>
      <name val="Arial"/>
      <family val="2"/>
    </font>
    <font>
      <b/>
      <sz val="11"/>
      <color theme="1"/>
      <name val="Calibri"/>
      <family val="2"/>
      <scheme val="minor"/>
    </font>
    <font>
      <b/>
      <sz val="11"/>
      <name val="Calibri"/>
      <family val="2"/>
    </font>
    <font>
      <sz val="11"/>
      <color theme="1"/>
      <name val="Arial"/>
      <family val="2"/>
    </font>
    <font>
      <sz val="11"/>
      <name val="Arial"/>
      <family val="2"/>
    </font>
    <font>
      <sz val="10"/>
      <name val="Helv"/>
    </font>
    <font>
      <sz val="10"/>
      <color rgb="FFFF0000"/>
      <name val="Helv"/>
    </font>
    <font>
      <sz val="11"/>
      <color rgb="FFFF0000"/>
      <name val="Arial"/>
      <family val="2"/>
    </font>
    <font>
      <b/>
      <sz val="10"/>
      <color rgb="FFFF0000"/>
      <name val="Helv"/>
    </font>
    <font>
      <b/>
      <sz val="14"/>
      <name val="Arial"/>
      <family val="2"/>
    </font>
    <font>
      <sz val="11"/>
      <name val="Arial"/>
      <family val="2"/>
    </font>
    <font>
      <b/>
      <sz val="11"/>
      <color theme="0"/>
      <name val="Arial"/>
      <family val="2"/>
    </font>
    <font>
      <sz val="11"/>
      <color theme="1"/>
      <name val="Arial"/>
      <family val="2"/>
    </font>
    <font>
      <sz val="11"/>
      <color theme="1"/>
      <name val="Arial"/>
      <family val="2"/>
    </font>
    <font>
      <sz val="20"/>
      <name val="Verdana"/>
      <family val="2"/>
    </font>
    <font>
      <b/>
      <sz val="20"/>
      <name val="Verdana"/>
      <family val="2"/>
    </font>
    <font>
      <sz val="11"/>
      <name val="Verdana"/>
      <family val="2"/>
    </font>
    <font>
      <sz val="11"/>
      <name val="Georgia"/>
      <family val="1"/>
    </font>
    <font>
      <u/>
      <sz val="11"/>
      <color theme="10"/>
      <name val="Arial"/>
      <family val="2"/>
    </font>
    <font>
      <sz val="11"/>
      <color rgb="FFFF0000"/>
      <name val="Georgia"/>
      <family val="1"/>
    </font>
    <font>
      <b/>
      <sz val="14"/>
      <name val="Verdana"/>
      <family val="2"/>
    </font>
    <font>
      <sz val="14"/>
      <name val="Georgia"/>
      <family val="1"/>
    </font>
    <font>
      <sz val="8"/>
      <name val="Verdana"/>
      <family val="2"/>
    </font>
    <font>
      <sz val="9"/>
      <name val="Georgia"/>
      <family val="1"/>
    </font>
    <font>
      <b/>
      <sz val="11"/>
      <color theme="0"/>
      <name val="Calibri"/>
      <family val="2"/>
    </font>
    <font>
      <b/>
      <sz val="10"/>
      <color theme="0"/>
      <name val="Arial"/>
      <family val="2"/>
    </font>
    <font>
      <b/>
      <sz val="10"/>
      <color indexed="9"/>
      <name val="Arial"/>
      <family val="2"/>
    </font>
    <font>
      <sz val="9"/>
      <color indexed="81"/>
      <name val="Tahoma"/>
      <family val="2"/>
    </font>
    <font>
      <b/>
      <sz val="9"/>
      <color indexed="81"/>
      <name val="Tahoma"/>
      <family val="2"/>
    </font>
    <font>
      <b/>
      <sz val="11"/>
      <color rgb="FFFF0000"/>
      <name val="Calibri"/>
      <family val="2"/>
    </font>
    <font>
      <b/>
      <sz val="10"/>
      <name val="Verdana"/>
      <family val="2"/>
    </font>
    <font>
      <sz val="9"/>
      <color rgb="FFFF0000"/>
      <name val="Arial"/>
      <family val="2"/>
    </font>
    <font>
      <b/>
      <sz val="14"/>
      <color theme="1"/>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b/>
      <sz val="18"/>
      <name val="Arial"/>
      <family val="2"/>
    </font>
    <font>
      <b/>
      <sz val="11"/>
      <name val="Arial"/>
      <family val="2"/>
    </font>
    <font>
      <sz val="12"/>
      <name val="Courier New"/>
      <family val="3"/>
    </font>
    <font>
      <b/>
      <sz val="11"/>
      <name val="Arial"/>
      <family val="2"/>
    </font>
    <font>
      <sz val="8"/>
      <name val="Arial"/>
      <family val="2"/>
    </font>
    <font>
      <sz val="9"/>
      <name val="Verdana"/>
      <family val="2"/>
    </font>
    <font>
      <u/>
      <sz val="11"/>
      <color theme="10"/>
      <name val="Arial"/>
      <family val="2"/>
    </font>
    <font>
      <i/>
      <sz val="11"/>
      <name val="Arial"/>
      <family val="2"/>
    </font>
    <font>
      <u/>
      <sz val="15"/>
      <color theme="10"/>
      <name val="Arial"/>
      <family val="2"/>
    </font>
    <font>
      <b/>
      <sz val="16"/>
      <color theme="1"/>
      <name val="Calibri"/>
      <family val="2"/>
      <scheme val="minor"/>
    </font>
    <font>
      <sz val="9"/>
      <color indexed="81"/>
      <name val="Tahoma"/>
      <charset val="1"/>
    </font>
    <font>
      <b/>
      <sz val="9"/>
      <color indexed="81"/>
      <name val="Tahoma"/>
      <charset val="1"/>
    </font>
  </fonts>
  <fills count="1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1"/>
        <bgColor theme="1"/>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4" fontId="4" fillId="0" borderId="0" applyFont="0" applyFill="0" applyBorder="0" applyAlignment="0" applyProtection="0"/>
    <xf numFmtId="9" fontId="16"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0" fontId="30" fillId="0" borderId="0" applyNumberFormat="0" applyFill="0" applyBorder="0" applyAlignment="0" applyProtection="0"/>
    <xf numFmtId="0" fontId="2" fillId="9" borderId="0" applyNumberFormat="0" applyBorder="0" applyAlignment="0" applyProtection="0"/>
    <xf numFmtId="0" fontId="54" fillId="0" borderId="0" applyNumberFormat="0" applyFill="0" applyBorder="0" applyAlignment="0" applyProtection="0"/>
  </cellStyleXfs>
  <cellXfs count="525">
    <xf numFmtId="0" fontId="0" fillId="0" borderId="0" xfId="0"/>
    <xf numFmtId="0" fontId="4" fillId="0" borderId="0" xfId="0" applyFont="1"/>
    <xf numFmtId="0" fontId="5" fillId="0" borderId="0" xfId="0" applyFont="1"/>
    <xf numFmtId="1" fontId="4" fillId="0" borderId="0" xfId="0" applyNumberFormat="1" applyFont="1"/>
    <xf numFmtId="0" fontId="6" fillId="0" borderId="0" xfId="0" applyFont="1"/>
    <xf numFmtId="0" fontId="7" fillId="0" borderId="0" xfId="0" applyFont="1"/>
    <xf numFmtId="3" fontId="6" fillId="0" borderId="0" xfId="0" applyNumberFormat="1" applyFont="1" applyProtection="1">
      <protection locked="0"/>
    </xf>
    <xf numFmtId="0" fontId="7" fillId="0" borderId="0" xfId="0" applyFont="1" applyProtection="1">
      <protection locked="0"/>
    </xf>
    <xf numFmtId="0" fontId="6" fillId="0" borderId="0" xfId="0" applyFont="1" applyAlignment="1">
      <alignment horizontal="center"/>
    </xf>
    <xf numFmtId="0" fontId="6" fillId="0" borderId="0" xfId="0" applyFont="1" applyProtection="1">
      <protection locked="0"/>
    </xf>
    <xf numFmtId="3" fontId="6" fillId="3" borderId="11" xfId="0" applyNumberFormat="1" applyFont="1" applyFill="1" applyBorder="1"/>
    <xf numFmtId="0" fontId="11" fillId="0" borderId="0" xfId="0" applyFont="1" applyProtection="1">
      <protection locked="0"/>
    </xf>
    <xf numFmtId="2" fontId="6" fillId="3" borderId="10" xfId="0" applyNumberFormat="1" applyFont="1" applyFill="1" applyBorder="1"/>
    <xf numFmtId="3" fontId="6" fillId="0" borderId="12" xfId="0" applyNumberFormat="1" applyFont="1" applyBorder="1"/>
    <xf numFmtId="0" fontId="10" fillId="0" borderId="0" xfId="0" applyFont="1" applyProtection="1">
      <protection locked="0"/>
    </xf>
    <xf numFmtId="0" fontId="12" fillId="0" borderId="0" xfId="0" applyFont="1" applyProtection="1">
      <protection locked="0"/>
    </xf>
    <xf numFmtId="3" fontId="6" fillId="0" borderId="0" xfId="0" applyNumberFormat="1" applyFont="1"/>
    <xf numFmtId="1" fontId="5" fillId="0" borderId="0" xfId="0" applyNumberFormat="1" applyFont="1"/>
    <xf numFmtId="9" fontId="4" fillId="0" borderId="0" xfId="0" applyNumberFormat="1" applyFont="1"/>
    <xf numFmtId="0" fontId="6" fillId="0" borderId="1" xfId="0" applyFont="1" applyBorder="1"/>
    <xf numFmtId="4" fontId="6" fillId="0" borderId="1" xfId="0" applyNumberFormat="1" applyFont="1" applyBorder="1"/>
    <xf numFmtId="3" fontId="6" fillId="0" borderId="1" xfId="0" applyNumberFormat="1" applyFont="1" applyBorder="1"/>
    <xf numFmtId="3" fontId="6" fillId="0" borderId="10" xfId="0" applyNumberFormat="1" applyFont="1" applyBorder="1"/>
    <xf numFmtId="3" fontId="6" fillId="0" borderId="0" xfId="0" applyNumberFormat="1" applyFont="1" applyAlignment="1">
      <alignment horizontal="right"/>
    </xf>
    <xf numFmtId="3" fontId="9" fillId="0" borderId="0" xfId="0" applyNumberFormat="1" applyFont="1"/>
    <xf numFmtId="3" fontId="7" fillId="0" borderId="1" xfId="0" applyNumberFormat="1" applyFont="1" applyBorder="1"/>
    <xf numFmtId="3" fontId="9" fillId="0" borderId="0" xfId="0" applyNumberFormat="1" applyFont="1" applyAlignment="1">
      <alignment horizontal="right"/>
    </xf>
    <xf numFmtId="3" fontId="8" fillId="0" borderId="0" xfId="0" applyNumberFormat="1" applyFont="1" applyAlignment="1">
      <alignment horizontal="right"/>
    </xf>
    <xf numFmtId="3" fontId="7" fillId="0" borderId="9" xfId="0" applyNumberFormat="1" applyFont="1" applyBorder="1"/>
    <xf numFmtId="0" fontId="6" fillId="0" borderId="3" xfId="0" applyFont="1" applyBorder="1"/>
    <xf numFmtId="0" fontId="13" fillId="0" borderId="0" xfId="0" applyFont="1"/>
    <xf numFmtId="3" fontId="17" fillId="0" borderId="1" xfId="0" applyNumberFormat="1" applyFont="1" applyBorder="1"/>
    <xf numFmtId="3" fontId="18" fillId="0" borderId="1" xfId="0" applyNumberFormat="1" applyFont="1" applyBorder="1"/>
    <xf numFmtId="3" fontId="17" fillId="5" borderId="1" xfId="0" applyNumberFormat="1" applyFont="1" applyFill="1" applyBorder="1"/>
    <xf numFmtId="3" fontId="18" fillId="5" borderId="1" xfId="0" applyNumberFormat="1" applyFont="1" applyFill="1" applyBorder="1"/>
    <xf numFmtId="3" fontId="17" fillId="0" borderId="5" xfId="0" applyNumberFormat="1" applyFont="1" applyBorder="1"/>
    <xf numFmtId="3" fontId="18" fillId="0" borderId="5" xfId="0" applyNumberFormat="1" applyFont="1" applyBorder="1"/>
    <xf numFmtId="0" fontId="4" fillId="5" borderId="1" xfId="0" applyFont="1" applyFill="1" applyBorder="1"/>
    <xf numFmtId="3" fontId="20" fillId="0" borderId="5" xfId="0" applyNumberFormat="1" applyFont="1" applyBorder="1"/>
    <xf numFmtId="3" fontId="20" fillId="0" borderId="1" xfId="0" applyNumberFormat="1" applyFont="1" applyBorder="1"/>
    <xf numFmtId="0" fontId="21" fillId="0" borderId="0" xfId="0" applyFont="1"/>
    <xf numFmtId="0" fontId="4" fillId="0" borderId="0" xfId="0" quotePrefix="1" applyFont="1"/>
    <xf numFmtId="0" fontId="19" fillId="0" borderId="0" xfId="0" applyFont="1"/>
    <xf numFmtId="0" fontId="4" fillId="0" borderId="0" xfId="0" applyFont="1" applyAlignment="1">
      <alignment horizontal="right"/>
    </xf>
    <xf numFmtId="0" fontId="5" fillId="5" borderId="0" xfId="0" applyFont="1" applyFill="1"/>
    <xf numFmtId="1" fontId="6" fillId="0" borderId="0" xfId="0" applyNumberFormat="1" applyFont="1" applyAlignment="1">
      <alignment horizontal="center"/>
    </xf>
    <xf numFmtId="3" fontId="6" fillId="3" borderId="12" xfId="0" applyNumberFormat="1" applyFont="1" applyFill="1" applyBorder="1"/>
    <xf numFmtId="0" fontId="6" fillId="0" borderId="9" xfId="0" applyFont="1" applyBorder="1"/>
    <xf numFmtId="2" fontId="6" fillId="0" borderId="0" xfId="0" applyNumberFormat="1" applyFont="1"/>
    <xf numFmtId="0" fontId="6" fillId="0" borderId="10" xfId="0" applyFont="1" applyBorder="1"/>
    <xf numFmtId="0" fontId="6" fillId="0" borderId="12" xfId="0" applyFont="1" applyBorder="1"/>
    <xf numFmtId="3" fontId="6" fillId="0" borderId="23" xfId="0" applyNumberFormat="1" applyFont="1" applyBorder="1"/>
    <xf numFmtId="3" fontId="6" fillId="0" borderId="26" xfId="0" applyNumberFormat="1" applyFont="1" applyBorder="1"/>
    <xf numFmtId="3" fontId="6" fillId="0" borderId="11" xfId="0" applyNumberFormat="1" applyFont="1" applyBorder="1"/>
    <xf numFmtId="0" fontId="4" fillId="0" borderId="1" xfId="0" applyFont="1" applyBorder="1"/>
    <xf numFmtId="0" fontId="23" fillId="6" borderId="27" xfId="0" applyFont="1" applyFill="1" applyBorder="1"/>
    <xf numFmtId="0" fontId="15" fillId="0" borderId="27" xfId="0" applyFont="1" applyBorder="1"/>
    <xf numFmtId="9" fontId="0" fillId="0" borderId="0" xfId="0" applyNumberFormat="1"/>
    <xf numFmtId="0" fontId="24" fillId="0" borderId="27" xfId="0" applyFont="1" applyBorder="1"/>
    <xf numFmtId="0" fontId="24" fillId="0" borderId="28" xfId="0" applyFont="1" applyBorder="1"/>
    <xf numFmtId="10" fontId="4" fillId="0" borderId="0" xfId="2" applyNumberFormat="1" applyFont="1" applyFill="1"/>
    <xf numFmtId="0" fontId="15" fillId="0" borderId="27" xfId="0" applyFont="1" applyBorder="1" applyAlignment="1">
      <alignment horizontal="left"/>
    </xf>
    <xf numFmtId="0" fontId="5" fillId="0" borderId="0" xfId="0" applyFont="1" applyAlignment="1">
      <alignment horizontal="center"/>
    </xf>
    <xf numFmtId="0" fontId="3" fillId="0" borderId="0" xfId="0" applyFont="1"/>
    <xf numFmtId="0" fontId="6" fillId="0" borderId="23" xfId="0" applyFont="1" applyBorder="1"/>
    <xf numFmtId="2" fontId="6" fillId="0" borderId="1" xfId="0" applyNumberFormat="1" applyFont="1" applyBorder="1"/>
    <xf numFmtId="3" fontId="6" fillId="0" borderId="30" xfId="0" applyNumberFormat="1" applyFont="1" applyBorder="1"/>
    <xf numFmtId="3" fontId="4" fillId="0" borderId="1" xfId="0" applyNumberFormat="1" applyFont="1" applyBorder="1"/>
    <xf numFmtId="165" fontId="7" fillId="2" borderId="1" xfId="3" applyNumberFormat="1" applyFont="1" applyFill="1" applyBorder="1" applyProtection="1">
      <protection locked="0"/>
    </xf>
    <xf numFmtId="164" fontId="7" fillId="0" borderId="0" xfId="3" applyFont="1" applyFill="1" applyBorder="1" applyAlignment="1" applyProtection="1">
      <alignment horizontal="center"/>
      <protection locked="0"/>
    </xf>
    <xf numFmtId="164" fontId="7" fillId="0" borderId="0" xfId="3" applyFont="1" applyProtection="1">
      <protection locked="0"/>
    </xf>
    <xf numFmtId="164" fontId="6" fillId="0" borderId="0" xfId="3" applyFont="1" applyProtection="1">
      <protection locked="0"/>
    </xf>
    <xf numFmtId="164" fontId="7" fillId="0" borderId="0" xfId="3" applyFont="1" applyFill="1" applyBorder="1" applyProtection="1">
      <protection locked="0"/>
    </xf>
    <xf numFmtId="164" fontId="4" fillId="0" borderId="0" xfId="3" applyFont="1" applyProtection="1">
      <protection locked="0"/>
    </xf>
    <xf numFmtId="164" fontId="4" fillId="0" borderId="0" xfId="3" applyFont="1" applyFill="1" applyBorder="1" applyAlignment="1" applyProtection="1">
      <protection locked="0"/>
    </xf>
    <xf numFmtId="164" fontId="7" fillId="0" borderId="0" xfId="3" applyFont="1" applyFill="1" applyBorder="1" applyAlignment="1" applyProtection="1">
      <protection locked="0"/>
    </xf>
    <xf numFmtId="164" fontId="6" fillId="0" borderId="0" xfId="3" applyFont="1" applyBorder="1" applyProtection="1">
      <protection locked="0"/>
    </xf>
    <xf numFmtId="164" fontId="7" fillId="0" borderId="0" xfId="3" quotePrefix="1" applyFont="1" applyProtection="1">
      <protection locked="0"/>
    </xf>
    <xf numFmtId="164" fontId="11" fillId="0" borderId="0" xfId="3" applyFont="1" applyProtection="1">
      <protection locked="0"/>
    </xf>
    <xf numFmtId="164" fontId="10" fillId="0" borderId="0" xfId="3" applyFont="1" applyProtection="1">
      <protection locked="0"/>
    </xf>
    <xf numFmtId="164" fontId="4" fillId="0" borderId="0" xfId="3" applyFont="1" applyAlignment="1" applyProtection="1">
      <protection locked="0"/>
    </xf>
    <xf numFmtId="164" fontId="4" fillId="0" borderId="0" xfId="3" applyFont="1" applyAlignment="1" applyProtection="1">
      <alignment horizontal="center" wrapText="1"/>
      <protection locked="0"/>
    </xf>
    <xf numFmtId="164" fontId="12" fillId="0" borderId="0" xfId="3" applyFont="1" applyProtection="1">
      <protection locked="0"/>
    </xf>
    <xf numFmtId="0" fontId="15" fillId="0" borderId="9" xfId="0" applyFont="1" applyBorder="1" applyAlignment="1">
      <alignment horizontal="left"/>
    </xf>
    <xf numFmtId="0" fontId="15" fillId="0" borderId="32" xfId="0" applyFont="1" applyBorder="1"/>
    <xf numFmtId="164" fontId="7" fillId="0" borderId="0" xfId="3" applyFont="1" applyFill="1" applyProtection="1">
      <protection locked="0"/>
    </xf>
    <xf numFmtId="164" fontId="6" fillId="0" borderId="0" xfId="3" applyFont="1" applyFill="1" applyBorder="1" applyProtection="1">
      <protection locked="0"/>
    </xf>
    <xf numFmtId="164" fontId="6" fillId="0" borderId="0" xfId="3" applyFont="1" applyFill="1" applyProtection="1">
      <protection locked="0"/>
    </xf>
    <xf numFmtId="164" fontId="4" fillId="0" borderId="0" xfId="3" applyFont="1" applyFill="1" applyProtection="1">
      <protection locked="0"/>
    </xf>
    <xf numFmtId="164" fontId="11" fillId="0" borderId="0" xfId="3" applyFont="1" applyFill="1" applyProtection="1">
      <protection locked="0"/>
    </xf>
    <xf numFmtId="164" fontId="10" fillId="0" borderId="0" xfId="3" applyFont="1" applyFill="1" applyProtection="1">
      <protection locked="0"/>
    </xf>
    <xf numFmtId="164" fontId="4" fillId="0" borderId="0" xfId="3" applyFont="1" applyFill="1" applyAlignment="1" applyProtection="1">
      <protection locked="0"/>
    </xf>
    <xf numFmtId="164" fontId="4" fillId="0" borderId="0" xfId="3" applyFont="1" applyFill="1" applyAlignment="1" applyProtection="1">
      <alignment horizontal="center" wrapText="1"/>
      <protection locked="0"/>
    </xf>
    <xf numFmtId="164" fontId="12" fillId="0" borderId="0" xfId="3" applyFont="1" applyFill="1" applyProtection="1">
      <protection locked="0"/>
    </xf>
    <xf numFmtId="4" fontId="6" fillId="0" borderId="9" xfId="0" applyNumberFormat="1" applyFont="1" applyBorder="1"/>
    <xf numFmtId="3" fontId="6" fillId="0" borderId="9" xfId="0" applyNumberFormat="1" applyFont="1" applyBorder="1"/>
    <xf numFmtId="0" fontId="28" fillId="5" borderId="23" xfId="0" applyFont="1" applyFill="1" applyBorder="1" applyAlignment="1">
      <alignment vertical="center" wrapText="1"/>
    </xf>
    <xf numFmtId="0" fontId="28" fillId="5" borderId="12" xfId="0" applyFont="1" applyFill="1" applyBorder="1" applyAlignment="1">
      <alignment vertical="center" wrapText="1"/>
    </xf>
    <xf numFmtId="0" fontId="28" fillId="5" borderId="33" xfId="0" applyFont="1" applyFill="1" applyBorder="1" applyAlignment="1">
      <alignment vertical="center" wrapText="1"/>
    </xf>
    <xf numFmtId="0" fontId="28" fillId="5" borderId="33" xfId="0" applyFont="1" applyFill="1" applyBorder="1" applyAlignment="1">
      <alignment vertical="top" wrapText="1"/>
    </xf>
    <xf numFmtId="0" fontId="28" fillId="5" borderId="22" xfId="0" applyFont="1" applyFill="1" applyBorder="1" applyAlignment="1">
      <alignment vertical="center" wrapText="1"/>
    </xf>
    <xf numFmtId="14" fontId="0" fillId="0" borderId="0" xfId="0" applyNumberFormat="1"/>
    <xf numFmtId="0" fontId="29" fillId="7" borderId="23" xfId="0" applyFont="1" applyFill="1" applyBorder="1" applyAlignment="1">
      <alignment vertical="center" wrapText="1"/>
    </xf>
    <xf numFmtId="0" fontId="29" fillId="5" borderId="12" xfId="0" applyFont="1" applyFill="1" applyBorder="1" applyAlignment="1">
      <alignment vertical="center" wrapText="1"/>
    </xf>
    <xf numFmtId="0" fontId="29" fillId="8" borderId="26" xfId="0" applyFont="1" applyFill="1" applyBorder="1" applyAlignment="1">
      <alignment vertical="center" wrapText="1"/>
    </xf>
    <xf numFmtId="0" fontId="29" fillId="8" borderId="30" xfId="0" applyFont="1" applyFill="1" applyBorder="1" applyAlignment="1">
      <alignment vertical="center" wrapText="1"/>
    </xf>
    <xf numFmtId="9" fontId="33" fillId="7" borderId="12" xfId="2" applyFont="1" applyFill="1" applyBorder="1" applyAlignment="1">
      <alignment vertical="center" wrapText="1"/>
    </xf>
    <xf numFmtId="3" fontId="28" fillId="5" borderId="12" xfId="0" applyNumberFormat="1" applyFont="1" applyFill="1" applyBorder="1" applyAlignment="1">
      <alignment vertical="center" wrapText="1"/>
    </xf>
    <xf numFmtId="3" fontId="28" fillId="7" borderId="12" xfId="0" applyNumberFormat="1" applyFont="1" applyFill="1" applyBorder="1" applyAlignment="1">
      <alignment vertical="center" wrapText="1"/>
    </xf>
    <xf numFmtId="1" fontId="6" fillId="0" borderId="0" xfId="0" applyNumberFormat="1" applyFont="1"/>
    <xf numFmtId="0" fontId="15" fillId="0" borderId="1" xfId="0" applyFont="1" applyBorder="1"/>
    <xf numFmtId="0" fontId="25" fillId="0" borderId="1" xfId="0" applyFont="1" applyBorder="1"/>
    <xf numFmtId="0" fontId="15" fillId="0" borderId="1" xfId="0" applyFont="1" applyBorder="1" applyAlignment="1">
      <alignment horizontal="right"/>
    </xf>
    <xf numFmtId="0" fontId="0" fillId="0" borderId="1" xfId="0" applyBorder="1" applyAlignment="1">
      <alignment horizontal="right"/>
    </xf>
    <xf numFmtId="0" fontId="0" fillId="0" borderId="1" xfId="0" applyBorder="1"/>
    <xf numFmtId="0" fontId="15" fillId="0" borderId="1" xfId="0" applyFont="1" applyBorder="1" applyAlignment="1">
      <alignment horizontal="left"/>
    </xf>
    <xf numFmtId="0" fontId="6" fillId="0" borderId="18" xfId="0" applyFont="1" applyBorder="1"/>
    <xf numFmtId="0" fontId="7" fillId="0" borderId="15" xfId="0" applyFont="1" applyBorder="1" applyProtection="1">
      <protection locked="0"/>
    </xf>
    <xf numFmtId="0" fontId="6" fillId="0" borderId="15" xfId="0" applyFont="1" applyBorder="1" applyAlignment="1" applyProtection="1">
      <alignment wrapText="1"/>
      <protection locked="0"/>
    </xf>
    <xf numFmtId="3" fontId="6" fillId="0" borderId="2" xfId="0" applyNumberFormat="1" applyFont="1" applyBorder="1"/>
    <xf numFmtId="3" fontId="7" fillId="0" borderId="7" xfId="0" applyNumberFormat="1" applyFont="1" applyBorder="1"/>
    <xf numFmtId="3" fontId="7" fillId="0" borderId="0" xfId="0" applyNumberFormat="1" applyFont="1"/>
    <xf numFmtId="3" fontId="7" fillId="0" borderId="31" xfId="0" applyNumberFormat="1" applyFont="1" applyBorder="1"/>
    <xf numFmtId="164" fontId="4" fillId="0" borderId="2" xfId="3" applyFont="1" applyBorder="1" applyAlignment="1" applyProtection="1">
      <alignment horizontal="center" wrapText="1"/>
      <protection locked="0"/>
    </xf>
    <xf numFmtId="164" fontId="4" fillId="0" borderId="1" xfId="3" applyFont="1" applyBorder="1" applyAlignment="1" applyProtection="1">
      <alignment horizontal="center" wrapText="1"/>
      <protection locked="0"/>
    </xf>
    <xf numFmtId="164" fontId="7" fillId="0" borderId="0" xfId="3" applyFont="1" applyBorder="1" applyProtection="1">
      <protection locked="0"/>
    </xf>
    <xf numFmtId="165" fontId="23" fillId="0" borderId="0" xfId="3" applyNumberFormat="1" applyFont="1" applyFill="1" applyBorder="1" applyAlignment="1" applyProtection="1">
      <alignment horizontal="left" wrapText="1"/>
      <protection locked="0"/>
    </xf>
    <xf numFmtId="0" fontId="11" fillId="0" borderId="14" xfId="0" applyFont="1" applyBorder="1" applyProtection="1">
      <protection locked="0"/>
    </xf>
    <xf numFmtId="0" fontId="7" fillId="0" borderId="14" xfId="0" applyFont="1" applyBorder="1" applyProtection="1">
      <protection locked="0"/>
    </xf>
    <xf numFmtId="3" fontId="21" fillId="11" borderId="21" xfId="0" applyNumberFormat="1" applyFont="1" applyFill="1" applyBorder="1" applyAlignment="1">
      <alignment horizontal="left"/>
    </xf>
    <xf numFmtId="0" fontId="6" fillId="11" borderId="16" xfId="0" applyFont="1" applyFill="1" applyBorder="1" applyAlignment="1">
      <alignment horizontal="center"/>
    </xf>
    <xf numFmtId="0" fontId="7" fillId="11" borderId="16" xfId="0" applyFont="1" applyFill="1" applyBorder="1" applyAlignment="1">
      <alignment horizontal="center"/>
    </xf>
    <xf numFmtId="164" fontId="11" fillId="11" borderId="17" xfId="3" applyFont="1" applyFill="1" applyBorder="1" applyProtection="1">
      <protection locked="0"/>
    </xf>
    <xf numFmtId="0" fontId="6" fillId="0" borderId="19" xfId="0" applyFont="1" applyBorder="1" applyAlignment="1">
      <alignment horizontal="center"/>
    </xf>
    <xf numFmtId="165" fontId="6" fillId="0" borderId="36" xfId="3" applyNumberFormat="1" applyFont="1" applyBorder="1" applyProtection="1">
      <protection locked="0"/>
    </xf>
    <xf numFmtId="165" fontId="6" fillId="0" borderId="19" xfId="3" applyNumberFormat="1" applyFont="1" applyBorder="1" applyProtection="1">
      <protection locked="0"/>
    </xf>
    <xf numFmtId="164" fontId="7" fillId="0" borderId="18" xfId="3" applyFont="1" applyBorder="1" applyProtection="1">
      <protection locked="0"/>
    </xf>
    <xf numFmtId="164" fontId="11" fillId="0" borderId="0" xfId="3" applyFont="1" applyBorder="1" applyProtection="1">
      <protection locked="0"/>
    </xf>
    <xf numFmtId="164" fontId="11" fillId="0" borderId="19" xfId="3" applyFont="1" applyBorder="1" applyProtection="1">
      <protection locked="0"/>
    </xf>
    <xf numFmtId="3" fontId="21" fillId="11" borderId="18" xfId="0" applyNumberFormat="1" applyFont="1" applyFill="1" applyBorder="1" applyAlignment="1">
      <alignment horizontal="left"/>
    </xf>
    <xf numFmtId="164" fontId="11" fillId="11" borderId="19" xfId="3" applyFont="1" applyFill="1" applyBorder="1" applyProtection="1">
      <protection locked="0"/>
    </xf>
    <xf numFmtId="3" fontId="6" fillId="0" borderId="18" xfId="0" applyNumberFormat="1" applyFont="1" applyBorder="1" applyAlignment="1">
      <alignment horizontal="right"/>
    </xf>
    <xf numFmtId="164" fontId="6" fillId="0" borderId="19" xfId="3" applyFont="1" applyBorder="1" applyProtection="1">
      <protection locked="0"/>
    </xf>
    <xf numFmtId="3" fontId="21" fillId="0" borderId="18" xfId="0" applyNumberFormat="1" applyFont="1" applyBorder="1" applyAlignment="1">
      <alignment horizontal="right"/>
    </xf>
    <xf numFmtId="164" fontId="11" fillId="11" borderId="16" xfId="3" applyFont="1" applyFill="1" applyBorder="1" applyAlignment="1" applyProtection="1">
      <alignment horizontal="center"/>
      <protection locked="0"/>
    </xf>
    <xf numFmtId="164" fontId="11" fillId="11" borderId="0" xfId="3" applyFont="1" applyFill="1" applyBorder="1" applyAlignment="1" applyProtection="1">
      <alignment horizontal="center"/>
      <protection locked="0"/>
    </xf>
    <xf numFmtId="3" fontId="6" fillId="10" borderId="1" xfId="0" applyNumberFormat="1" applyFont="1" applyFill="1" applyBorder="1"/>
    <xf numFmtId="165" fontId="6" fillId="10" borderId="39" xfId="3" applyNumberFormat="1" applyFont="1" applyFill="1" applyBorder="1" applyProtection="1">
      <protection locked="0"/>
    </xf>
    <xf numFmtId="0" fontId="6" fillId="10" borderId="19" xfId="0" applyFont="1" applyFill="1" applyBorder="1" applyAlignment="1">
      <alignment horizontal="center"/>
    </xf>
    <xf numFmtId="165" fontId="6" fillId="10" borderId="36" xfId="3" applyNumberFormat="1" applyFont="1" applyFill="1" applyBorder="1" applyProtection="1">
      <protection locked="0"/>
    </xf>
    <xf numFmtId="165" fontId="6" fillId="10" borderId="19" xfId="3" applyNumberFormat="1" applyFont="1" applyFill="1" applyBorder="1" applyProtection="1">
      <protection locked="0"/>
    </xf>
    <xf numFmtId="3" fontId="6" fillId="10" borderId="2" xfId="0" applyNumberFormat="1" applyFont="1" applyFill="1" applyBorder="1"/>
    <xf numFmtId="3" fontId="6" fillId="10" borderId="25" xfId="0" applyNumberFormat="1" applyFont="1" applyFill="1" applyBorder="1"/>
    <xf numFmtId="165" fontId="6" fillId="10" borderId="40" xfId="3" applyNumberFormat="1" applyFont="1" applyFill="1" applyBorder="1" applyProtection="1">
      <protection locked="0"/>
    </xf>
    <xf numFmtId="164" fontId="7" fillId="10" borderId="1" xfId="3" applyFont="1" applyFill="1" applyBorder="1" applyProtection="1">
      <protection locked="0"/>
    </xf>
    <xf numFmtId="164" fontId="7" fillId="10" borderId="2" xfId="3" applyFont="1" applyFill="1" applyBorder="1" applyProtection="1">
      <protection locked="0"/>
    </xf>
    <xf numFmtId="3" fontId="6" fillId="0" borderId="35" xfId="0" applyNumberFormat="1" applyFont="1" applyBorder="1" applyAlignment="1">
      <alignment horizontal="left"/>
    </xf>
    <xf numFmtId="3" fontId="6" fillId="0" borderId="37" xfId="0" applyNumberFormat="1" applyFont="1" applyBorder="1" applyAlignment="1">
      <alignment horizontal="left"/>
    </xf>
    <xf numFmtId="3" fontId="6" fillId="10" borderId="38" xfId="0" applyNumberFormat="1" applyFont="1" applyFill="1" applyBorder="1" applyAlignment="1">
      <alignment horizontal="left"/>
    </xf>
    <xf numFmtId="3" fontId="6" fillId="0" borderId="38" xfId="0" applyNumberFormat="1" applyFont="1" applyBorder="1" applyAlignment="1">
      <alignment horizontal="left"/>
    </xf>
    <xf numFmtId="0" fontId="6" fillId="0" borderId="38" xfId="0" applyFont="1" applyBorder="1" applyAlignment="1">
      <alignment horizontal="left"/>
    </xf>
    <xf numFmtId="3" fontId="6" fillId="0" borderId="18" xfId="0" applyNumberFormat="1" applyFont="1" applyBorder="1" applyAlignment="1">
      <alignment horizontal="left"/>
    </xf>
    <xf numFmtId="3" fontId="6" fillId="0" borderId="1" xfId="0" applyNumberFormat="1" applyFont="1" applyBorder="1" applyAlignment="1">
      <alignment horizontal="right"/>
    </xf>
    <xf numFmtId="3" fontId="6" fillId="0" borderId="2" xfId="0" applyNumberFormat="1" applyFont="1" applyBorder="1" applyAlignment="1">
      <alignment horizontal="right"/>
    </xf>
    <xf numFmtId="164" fontId="4" fillId="0" borderId="1" xfId="3" applyFont="1" applyBorder="1" applyAlignment="1" applyProtection="1">
      <alignment horizontal="right" wrapText="1"/>
      <protection locked="0"/>
    </xf>
    <xf numFmtId="164" fontId="4" fillId="0" borderId="2" xfId="3" applyFont="1" applyBorder="1" applyAlignment="1" applyProtection="1">
      <alignment horizontal="right" wrapText="1"/>
      <protection locked="0"/>
    </xf>
    <xf numFmtId="2" fontId="7" fillId="0" borderId="1" xfId="0" applyNumberFormat="1" applyFont="1" applyBorder="1"/>
    <xf numFmtId="2" fontId="7" fillId="0" borderId="9" xfId="0" applyNumberFormat="1" applyFont="1" applyBorder="1"/>
    <xf numFmtId="0" fontId="7" fillId="0" borderId="1" xfId="0" applyFont="1" applyBorder="1" applyProtection="1">
      <protection locked="0"/>
    </xf>
    <xf numFmtId="2" fontId="7" fillId="0" borderId="29" xfId="0" applyNumberFormat="1" applyFont="1" applyBorder="1"/>
    <xf numFmtId="2" fontId="7" fillId="0" borderId="31" xfId="0" applyNumberFormat="1" applyFont="1" applyBorder="1"/>
    <xf numFmtId="2" fontId="7" fillId="0" borderId="25" xfId="0" applyNumberFormat="1" applyFont="1" applyBorder="1"/>
    <xf numFmtId="0" fontId="6" fillId="11" borderId="17" xfId="0" applyFont="1" applyFill="1" applyBorder="1" applyAlignment="1">
      <alignment horizontal="center"/>
    </xf>
    <xf numFmtId="165" fontId="6" fillId="10" borderId="36" xfId="3" applyNumberFormat="1" applyFont="1" applyFill="1" applyBorder="1" applyProtection="1"/>
    <xf numFmtId="165" fontId="6" fillId="10" borderId="19" xfId="3" applyNumberFormat="1" applyFont="1" applyFill="1" applyBorder="1" applyProtection="1"/>
    <xf numFmtId="165" fontId="6" fillId="10" borderId="39" xfId="3" applyNumberFormat="1" applyFont="1" applyFill="1" applyBorder="1" applyProtection="1"/>
    <xf numFmtId="165" fontId="6" fillId="10" borderId="40" xfId="3" applyNumberFormat="1" applyFont="1" applyFill="1" applyBorder="1" applyProtection="1"/>
    <xf numFmtId="164" fontId="6" fillId="0" borderId="0" xfId="3" applyFont="1" applyProtection="1"/>
    <xf numFmtId="164" fontId="6" fillId="0" borderId="19" xfId="3" applyFont="1" applyBorder="1" applyProtection="1"/>
    <xf numFmtId="3" fontId="6" fillId="10" borderId="36" xfId="3" applyNumberFormat="1" applyFont="1" applyFill="1" applyBorder="1" applyProtection="1"/>
    <xf numFmtId="3" fontId="6" fillId="10" borderId="19" xfId="3" applyNumberFormat="1" applyFont="1" applyFill="1" applyBorder="1" applyProtection="1"/>
    <xf numFmtId="3" fontId="6" fillId="10" borderId="39" xfId="3" applyNumberFormat="1" applyFont="1" applyFill="1" applyBorder="1" applyProtection="1"/>
    <xf numFmtId="3" fontId="6" fillId="10" borderId="40" xfId="3" applyNumberFormat="1" applyFont="1" applyFill="1" applyBorder="1" applyProtection="1"/>
    <xf numFmtId="165" fontId="6" fillId="0" borderId="0" xfId="3" applyNumberFormat="1" applyFont="1" applyBorder="1" applyProtection="1"/>
    <xf numFmtId="0" fontId="6" fillId="11" borderId="17" xfId="0" applyFont="1" applyFill="1" applyBorder="1" applyAlignment="1">
      <alignment horizontal="left"/>
    </xf>
    <xf numFmtId="3" fontId="21" fillId="0" borderId="0" xfId="0" applyNumberFormat="1" applyFont="1" applyAlignment="1">
      <alignment horizontal="right"/>
    </xf>
    <xf numFmtId="0" fontId="21" fillId="11" borderId="21" xfId="0" applyFont="1" applyFill="1" applyBorder="1" applyAlignment="1">
      <alignment horizontal="left"/>
    </xf>
    <xf numFmtId="164" fontId="11" fillId="0" borderId="0" xfId="3" applyFont="1" applyFill="1" applyProtection="1"/>
    <xf numFmtId="164" fontId="7" fillId="0" borderId="0" xfId="3" applyFont="1" applyProtection="1"/>
    <xf numFmtId="3" fontId="6" fillId="0" borderId="41" xfId="0" applyNumberFormat="1" applyFont="1" applyBorder="1" applyAlignment="1">
      <alignment horizontal="left"/>
    </xf>
    <xf numFmtId="3" fontId="6" fillId="10" borderId="42" xfId="0" applyNumberFormat="1" applyFont="1" applyFill="1" applyBorder="1" applyAlignment="1">
      <alignment horizontal="left"/>
    </xf>
    <xf numFmtId="3" fontId="6" fillId="0" borderId="42" xfId="0" applyNumberFormat="1" applyFont="1" applyBorder="1" applyAlignment="1">
      <alignment horizontal="left"/>
    </xf>
    <xf numFmtId="0" fontId="6" fillId="0" borderId="42" xfId="0" applyFont="1" applyBorder="1" applyAlignment="1">
      <alignment horizontal="left"/>
    </xf>
    <xf numFmtId="3" fontId="6" fillId="10" borderId="43" xfId="0" applyNumberFormat="1" applyFont="1" applyFill="1" applyBorder="1" applyAlignment="1">
      <alignment horizontal="left"/>
    </xf>
    <xf numFmtId="3" fontId="6" fillId="10" borderId="44" xfId="0" applyNumberFormat="1" applyFont="1" applyFill="1" applyBorder="1"/>
    <xf numFmtId="164" fontId="6" fillId="0" borderId="0" xfId="3" applyFont="1" applyBorder="1" applyProtection="1"/>
    <xf numFmtId="3" fontId="6" fillId="10" borderId="1" xfId="3" applyNumberFormat="1" applyFont="1" applyFill="1" applyBorder="1" applyProtection="1"/>
    <xf numFmtId="3" fontId="6" fillId="10" borderId="2" xfId="3" applyNumberFormat="1" applyFont="1" applyFill="1" applyBorder="1" applyProtection="1"/>
    <xf numFmtId="3" fontId="6" fillId="0" borderId="1" xfId="3" applyNumberFormat="1" applyFont="1" applyBorder="1" applyProtection="1"/>
    <xf numFmtId="3" fontId="6" fillId="0" borderId="2" xfId="3" applyNumberFormat="1" applyFont="1" applyBorder="1" applyProtection="1"/>
    <xf numFmtId="164" fontId="7" fillId="0" borderId="0" xfId="3" applyFont="1" applyBorder="1" applyProtection="1"/>
    <xf numFmtId="0" fontId="6" fillId="11" borderId="16" xfId="0" applyFont="1" applyFill="1" applyBorder="1" applyAlignment="1">
      <alignment horizontal="left"/>
    </xf>
    <xf numFmtId="3" fontId="21" fillId="0" borderId="18" xfId="0" applyNumberFormat="1" applyFont="1" applyBorder="1" applyAlignment="1">
      <alignment horizontal="left"/>
    </xf>
    <xf numFmtId="3" fontId="7" fillId="10" borderId="1" xfId="3" applyNumberFormat="1" applyFont="1" applyFill="1" applyBorder="1" applyProtection="1"/>
    <xf numFmtId="3" fontId="7" fillId="10" borderId="2" xfId="3" applyNumberFormat="1" applyFont="1" applyFill="1" applyBorder="1" applyProtection="1"/>
    <xf numFmtId="0" fontId="28" fillId="8" borderId="12" xfId="0" applyFont="1" applyFill="1" applyBorder="1" applyAlignment="1" applyProtection="1">
      <alignment vertical="center" wrapText="1"/>
      <protection locked="0"/>
    </xf>
    <xf numFmtId="1" fontId="30" fillId="8" borderId="12" xfId="5" applyNumberFormat="1" applyFill="1" applyBorder="1" applyAlignment="1" applyProtection="1">
      <alignment vertical="center" wrapText="1"/>
      <protection locked="0"/>
    </xf>
    <xf numFmtId="0" fontId="29" fillId="8" borderId="12" xfId="0" applyFont="1" applyFill="1" applyBorder="1" applyAlignment="1" applyProtection="1">
      <alignment vertical="center" wrapText="1"/>
      <protection locked="0"/>
    </xf>
    <xf numFmtId="0" fontId="29" fillId="8" borderId="26" xfId="0" applyFont="1" applyFill="1" applyBorder="1" applyAlignment="1" applyProtection="1">
      <alignment vertical="center" wrapText="1"/>
      <protection locked="0"/>
    </xf>
    <xf numFmtId="0" fontId="30" fillId="8" borderId="12" xfId="5" applyFill="1" applyBorder="1" applyAlignment="1" applyProtection="1">
      <alignment vertical="center" wrapText="1"/>
      <protection locked="0"/>
    </xf>
    <xf numFmtId="0" fontId="7" fillId="0" borderId="0" xfId="0" applyFont="1" applyAlignment="1" applyProtection="1">
      <alignment horizontal="left"/>
      <protection locked="0"/>
    </xf>
    <xf numFmtId="49" fontId="29" fillId="7" borderId="23" xfId="0" applyNumberFormat="1" applyFont="1" applyFill="1" applyBorder="1" applyAlignment="1" applyProtection="1">
      <alignment vertical="center" wrapText="1"/>
      <protection locked="0"/>
    </xf>
    <xf numFmtId="0" fontId="29" fillId="7" borderId="23" xfId="0" applyFont="1" applyFill="1" applyBorder="1" applyAlignment="1" applyProtection="1">
      <alignment vertical="center" wrapText="1"/>
      <protection locked="0"/>
    </xf>
    <xf numFmtId="165" fontId="6" fillId="0" borderId="1" xfId="3" applyNumberFormat="1" applyFont="1" applyBorder="1"/>
    <xf numFmtId="165" fontId="6" fillId="0" borderId="2" xfId="3" applyNumberFormat="1" applyFont="1" applyBorder="1"/>
    <xf numFmtId="165" fontId="6" fillId="0" borderId="1" xfId="3" applyNumberFormat="1" applyFont="1" applyBorder="1" applyProtection="1">
      <protection locked="0"/>
    </xf>
    <xf numFmtId="165" fontId="6" fillId="0" borderId="2" xfId="3" applyNumberFormat="1" applyFont="1" applyBorder="1" applyProtection="1">
      <protection locked="0"/>
    </xf>
    <xf numFmtId="165" fontId="6" fillId="10" borderId="1" xfId="3" applyNumberFormat="1" applyFont="1" applyFill="1" applyBorder="1"/>
    <xf numFmtId="165" fontId="6" fillId="10" borderId="2" xfId="3" applyNumberFormat="1" applyFont="1" applyFill="1" applyBorder="1"/>
    <xf numFmtId="165" fontId="6" fillId="10" borderId="1" xfId="3" applyNumberFormat="1" applyFont="1" applyFill="1" applyBorder="1" applyProtection="1">
      <protection locked="0"/>
    </xf>
    <xf numFmtId="165" fontId="6" fillId="10" borderId="2" xfId="3" applyNumberFormat="1" applyFont="1" applyFill="1" applyBorder="1" applyProtection="1">
      <protection locked="0"/>
    </xf>
    <xf numFmtId="0" fontId="14" fillId="0" borderId="3" xfId="0" applyFont="1" applyBorder="1" applyAlignment="1">
      <alignment wrapText="1"/>
    </xf>
    <xf numFmtId="0" fontId="43" fillId="0" borderId="0" xfId="0" applyFont="1" applyAlignment="1">
      <alignment wrapText="1"/>
    </xf>
    <xf numFmtId="0" fontId="7" fillId="12" borderId="0" xfId="0" applyFont="1" applyFill="1" applyProtection="1">
      <protection locked="0"/>
    </xf>
    <xf numFmtId="0" fontId="6" fillId="12" borderId="0" xfId="0" applyFont="1" applyFill="1"/>
    <xf numFmtId="3" fontId="9" fillId="12" borderId="0" xfId="0" applyNumberFormat="1" applyFont="1" applyFill="1"/>
    <xf numFmtId="3" fontId="7" fillId="12" borderId="1" xfId="0" applyNumberFormat="1" applyFont="1" applyFill="1" applyBorder="1"/>
    <xf numFmtId="3" fontId="6" fillId="12" borderId="1" xfId="0" applyNumberFormat="1" applyFont="1" applyFill="1" applyBorder="1"/>
    <xf numFmtId="3" fontId="7" fillId="12" borderId="13" xfId="0" applyNumberFormat="1" applyFont="1" applyFill="1" applyBorder="1"/>
    <xf numFmtId="3" fontId="6" fillId="12" borderId="0" xfId="0" applyNumberFormat="1" applyFont="1" applyFill="1" applyAlignment="1">
      <alignment horizontal="right"/>
    </xf>
    <xf numFmtId="0" fontId="7" fillId="12" borderId="0" xfId="0" applyFont="1" applyFill="1" applyAlignment="1" applyProtection="1">
      <alignment horizontal="left"/>
      <protection locked="0"/>
    </xf>
    <xf numFmtId="3" fontId="6" fillId="12" borderId="0" xfId="0" applyNumberFormat="1" applyFont="1" applyFill="1"/>
    <xf numFmtId="0" fontId="7" fillId="13" borderId="0" xfId="0" applyFont="1" applyFill="1" applyProtection="1">
      <protection locked="0"/>
    </xf>
    <xf numFmtId="0" fontId="6" fillId="13" borderId="0" xfId="0" applyFont="1" applyFill="1" applyProtection="1">
      <protection locked="0"/>
    </xf>
    <xf numFmtId="3" fontId="4" fillId="0" borderId="1" xfId="3" applyNumberFormat="1" applyFont="1" applyBorder="1" applyAlignment="1" applyProtection="1">
      <alignment horizontal="right" wrapText="1"/>
      <protection locked="0"/>
    </xf>
    <xf numFmtId="3" fontId="4" fillId="0" borderId="2" xfId="3" applyNumberFormat="1" applyFont="1" applyBorder="1" applyAlignment="1" applyProtection="1">
      <alignment horizontal="right" wrapText="1"/>
      <protection locked="0"/>
    </xf>
    <xf numFmtId="0" fontId="7" fillId="0" borderId="1" xfId="0" applyFont="1" applyBorder="1"/>
    <xf numFmtId="3" fontId="4" fillId="4" borderId="1" xfId="0" applyNumberFormat="1" applyFont="1" applyFill="1" applyBorder="1"/>
    <xf numFmtId="164" fontId="6" fillId="0" borderId="18" xfId="3" applyFont="1" applyBorder="1" applyProtection="1">
      <protection locked="0"/>
    </xf>
    <xf numFmtId="0" fontId="6" fillId="0" borderId="19" xfId="0" applyFont="1" applyBorder="1" applyProtection="1">
      <protection locked="0"/>
    </xf>
    <xf numFmtId="3" fontId="6" fillId="0" borderId="0" xfId="0" applyNumberFormat="1" applyFont="1" applyAlignment="1">
      <alignment horizontal="left"/>
    </xf>
    <xf numFmtId="0" fontId="6" fillId="11" borderId="0" xfId="0" applyFont="1" applyFill="1" applyAlignment="1">
      <alignment horizontal="center"/>
    </xf>
    <xf numFmtId="0" fontId="7" fillId="11" borderId="0" xfId="0" applyFont="1" applyFill="1" applyAlignment="1">
      <alignment horizontal="center"/>
    </xf>
    <xf numFmtId="0" fontId="4" fillId="0" borderId="23" xfId="0" applyFont="1" applyBorder="1"/>
    <xf numFmtId="0" fontId="0" fillId="0" borderId="26" xfId="0" applyBorder="1"/>
    <xf numFmtId="9" fontId="0" fillId="0" borderId="30" xfId="2" applyFont="1" applyBorder="1"/>
    <xf numFmtId="0" fontId="44" fillId="0" borderId="0" xfId="0" applyFont="1"/>
    <xf numFmtId="0" fontId="45" fillId="0" borderId="0" xfId="0" applyFont="1"/>
    <xf numFmtId="0" fontId="7" fillId="0" borderId="1" xfId="0" applyFont="1" applyBorder="1" applyAlignment="1">
      <alignment vertical="top" wrapText="1"/>
    </xf>
    <xf numFmtId="0" fontId="46" fillId="0" borderId="0" xfId="0" applyFont="1"/>
    <xf numFmtId="0" fontId="47" fillId="0" borderId="1" xfId="0" applyFont="1" applyBorder="1"/>
    <xf numFmtId="0" fontId="47" fillId="0" borderId="1" xfId="0" applyFont="1" applyBorder="1" applyAlignment="1">
      <alignment wrapText="1"/>
    </xf>
    <xf numFmtId="0" fontId="47" fillId="0" borderId="1" xfId="0" quotePrefix="1" applyFont="1" applyBorder="1"/>
    <xf numFmtId="0" fontId="13" fillId="10" borderId="1" xfId="0" applyFont="1" applyFill="1" applyBorder="1"/>
    <xf numFmtId="0" fontId="7" fillId="10" borderId="1" xfId="0" applyFont="1" applyFill="1" applyBorder="1" applyAlignment="1">
      <alignment vertical="top" wrapText="1"/>
    </xf>
    <xf numFmtId="0" fontId="47" fillId="0" borderId="1" xfId="0" quotePrefix="1" applyFont="1" applyBorder="1" applyAlignment="1">
      <alignment wrapText="1"/>
    </xf>
    <xf numFmtId="0" fontId="13" fillId="0" borderId="1" xfId="0" applyFont="1" applyBorder="1"/>
    <xf numFmtId="0" fontId="7" fillId="0" borderId="15" xfId="0" applyFont="1" applyBorder="1" applyAlignment="1" applyProtection="1">
      <alignment horizontal="left"/>
      <protection locked="0"/>
    </xf>
    <xf numFmtId="0" fontId="6" fillId="0" borderId="15" xfId="0" applyFont="1" applyBorder="1" applyProtection="1">
      <protection locked="0"/>
    </xf>
    <xf numFmtId="165" fontId="23" fillId="0" borderId="15" xfId="3" applyNumberFormat="1" applyFont="1" applyFill="1" applyBorder="1" applyAlignment="1" applyProtection="1">
      <alignment wrapText="1"/>
      <protection locked="0"/>
    </xf>
    <xf numFmtId="165" fontId="23" fillId="0" borderId="20" xfId="3" applyNumberFormat="1" applyFont="1" applyFill="1" applyBorder="1" applyAlignment="1" applyProtection="1">
      <alignment wrapText="1"/>
      <protection locked="0"/>
    </xf>
    <xf numFmtId="0" fontId="37" fillId="0" borderId="2" xfId="0" applyFont="1" applyBorder="1" applyAlignment="1" applyProtection="1">
      <alignment horizontal="left"/>
      <protection locked="0"/>
    </xf>
    <xf numFmtId="3" fontId="0" fillId="0" borderId="1" xfId="0" applyNumberFormat="1" applyBorder="1"/>
    <xf numFmtId="0" fontId="48" fillId="0" borderId="0" xfId="0" applyFont="1"/>
    <xf numFmtId="165" fontId="7" fillId="2" borderId="4" xfId="3" applyNumberFormat="1" applyFont="1" applyFill="1" applyBorder="1" applyProtection="1">
      <protection locked="0"/>
    </xf>
    <xf numFmtId="165" fontId="7" fillId="2" borderId="2" xfId="3" applyNumberFormat="1" applyFont="1" applyFill="1" applyBorder="1" applyProtection="1">
      <protection locked="0"/>
    </xf>
    <xf numFmtId="14" fontId="29" fillId="8" borderId="12" xfId="0" applyNumberFormat="1" applyFont="1" applyFill="1" applyBorder="1" applyAlignment="1" applyProtection="1">
      <alignment vertical="center"/>
      <protection locked="0"/>
    </xf>
    <xf numFmtId="0" fontId="29" fillId="8" borderId="30" xfId="0" applyFont="1" applyFill="1" applyBorder="1" applyAlignment="1" applyProtection="1">
      <alignment vertical="center"/>
      <protection locked="0"/>
    </xf>
    <xf numFmtId="14" fontId="29" fillId="8" borderId="12" xfId="0" applyNumberFormat="1" applyFont="1" applyFill="1" applyBorder="1" applyAlignment="1" applyProtection="1">
      <alignment vertical="center" wrapText="1"/>
      <protection locked="0"/>
    </xf>
    <xf numFmtId="0" fontId="29" fillId="8" borderId="30" xfId="0" applyFont="1" applyFill="1" applyBorder="1" applyAlignment="1" applyProtection="1">
      <alignment vertical="center" wrapText="1"/>
      <protection locked="0"/>
    </xf>
    <xf numFmtId="0" fontId="49" fillId="0" borderId="0" xfId="0" applyFont="1"/>
    <xf numFmtId="0" fontId="7" fillId="0" borderId="48" xfId="0" applyFont="1" applyBorder="1" applyProtection="1">
      <protection locked="0"/>
    </xf>
    <xf numFmtId="14" fontId="29" fillId="7" borderId="23" xfId="0" applyNumberFormat="1" applyFont="1" applyFill="1" applyBorder="1" applyAlignment="1">
      <alignment vertical="center" wrapText="1"/>
    </xf>
    <xf numFmtId="0" fontId="4" fillId="10" borderId="26" xfId="0" applyFont="1" applyFill="1" applyBorder="1" applyProtection="1">
      <protection locked="0"/>
    </xf>
    <xf numFmtId="164" fontId="4" fillId="10" borderId="26" xfId="3" applyFont="1" applyFill="1" applyBorder="1" applyAlignment="1" applyProtection="1">
      <alignment horizontal="center"/>
      <protection locked="0"/>
    </xf>
    <xf numFmtId="0" fontId="51" fillId="0" borderId="0" xfId="0" applyFont="1"/>
    <xf numFmtId="14" fontId="29" fillId="8" borderId="12" xfId="0" applyNumberFormat="1" applyFont="1" applyFill="1" applyBorder="1" applyAlignment="1" applyProtection="1">
      <alignment horizontal="right" vertical="center" wrapText="1"/>
      <protection locked="0"/>
    </xf>
    <xf numFmtId="0" fontId="0" fillId="13" borderId="0" xfId="0" applyFill="1"/>
    <xf numFmtId="0" fontId="55" fillId="13" borderId="0" xfId="0" applyFont="1" applyFill="1"/>
    <xf numFmtId="0" fontId="5" fillId="0" borderId="49" xfId="0" applyFont="1" applyBorder="1"/>
    <xf numFmtId="0" fontId="5" fillId="0" borderId="13" xfId="0" applyFont="1" applyBorder="1"/>
    <xf numFmtId="0" fontId="5" fillId="0" borderId="50" xfId="0" applyFont="1" applyBorder="1"/>
    <xf numFmtId="0" fontId="4" fillId="14" borderId="8" xfId="0" applyFont="1" applyFill="1" applyBorder="1"/>
    <xf numFmtId="0" fontId="4" fillId="14" borderId="9" xfId="0" applyFont="1" applyFill="1" applyBorder="1"/>
    <xf numFmtId="0" fontId="4" fillId="14" borderId="6" xfId="0" applyFont="1" applyFill="1" applyBorder="1"/>
    <xf numFmtId="0" fontId="4" fillId="13" borderId="0" xfId="0" applyFont="1" applyFill="1"/>
    <xf numFmtId="0" fontId="56" fillId="15" borderId="12" xfId="7" applyFont="1" applyFill="1" applyBorder="1" applyAlignment="1">
      <alignment horizontal="center" vertical="center"/>
    </xf>
    <xf numFmtId="0" fontId="54" fillId="13" borderId="0" xfId="7" applyFill="1"/>
    <xf numFmtId="0" fontId="18" fillId="5" borderId="1" xfId="0" applyFont="1" applyFill="1" applyBorder="1"/>
    <xf numFmtId="0" fontId="18" fillId="0" borderId="1" xfId="0" applyFont="1" applyBorder="1"/>
    <xf numFmtId="49" fontId="7" fillId="8" borderId="9" xfId="0" applyNumberFormat="1" applyFont="1" applyFill="1" applyBorder="1" applyProtection="1">
      <protection locked="0"/>
    </xf>
    <xf numFmtId="49" fontId="7" fillId="8" borderId="1" xfId="0" applyNumberFormat="1" applyFont="1" applyFill="1" applyBorder="1" applyProtection="1">
      <protection locked="0"/>
    </xf>
    <xf numFmtId="165" fontId="7" fillId="8" borderId="1" xfId="3" applyNumberFormat="1" applyFont="1" applyFill="1" applyBorder="1" applyProtection="1">
      <protection locked="0"/>
    </xf>
    <xf numFmtId="14" fontId="7" fillId="8" borderId="25" xfId="0" applyNumberFormat="1" applyFont="1" applyFill="1" applyBorder="1" applyProtection="1">
      <protection locked="0"/>
    </xf>
    <xf numFmtId="0" fontId="7" fillId="8" borderId="13" xfId="0" applyFont="1" applyFill="1" applyBorder="1" applyAlignment="1" applyProtection="1">
      <alignment horizontal="right"/>
      <protection locked="0"/>
    </xf>
    <xf numFmtId="0" fontId="7" fillId="8" borderId="1" xfId="0" applyFont="1" applyFill="1" applyBorder="1" applyAlignment="1" applyProtection="1">
      <alignment horizontal="right"/>
      <protection locked="0"/>
    </xf>
    <xf numFmtId="165" fontId="7" fillId="8" borderId="1" xfId="3" applyNumberFormat="1" applyFont="1" applyFill="1" applyBorder="1" applyAlignment="1" applyProtection="1">
      <protection locked="0"/>
    </xf>
    <xf numFmtId="0" fontId="37" fillId="8" borderId="2" xfId="0" applyFont="1" applyFill="1" applyBorder="1" applyAlignment="1" applyProtection="1">
      <alignment horizontal="left"/>
      <protection locked="0"/>
    </xf>
    <xf numFmtId="0" fontId="37" fillId="8" borderId="4" xfId="0" applyFont="1" applyFill="1" applyBorder="1" applyAlignment="1" applyProtection="1">
      <alignment horizontal="left"/>
      <protection locked="0"/>
    </xf>
    <xf numFmtId="0" fontId="7" fillId="8" borderId="1" xfId="0" applyFont="1" applyFill="1" applyBorder="1" applyProtection="1">
      <protection locked="0"/>
    </xf>
    <xf numFmtId="0" fontId="7" fillId="8" borderId="9" xfId="0" applyFont="1" applyFill="1" applyBorder="1" applyProtection="1">
      <protection locked="0"/>
    </xf>
    <xf numFmtId="0" fontId="7" fillId="8" borderId="1" xfId="0" quotePrefix="1" applyFont="1" applyFill="1" applyBorder="1" applyProtection="1">
      <protection locked="0"/>
    </xf>
    <xf numFmtId="3" fontId="7" fillId="8" borderId="1" xfId="0" applyNumberFormat="1" applyFont="1" applyFill="1" applyBorder="1" applyProtection="1">
      <protection locked="0"/>
    </xf>
    <xf numFmtId="3" fontId="0" fillId="0" borderId="0" xfId="0" applyNumberFormat="1"/>
    <xf numFmtId="0" fontId="1" fillId="0" borderId="0" xfId="0" applyFont="1" applyAlignment="1">
      <alignment wrapText="1"/>
    </xf>
    <xf numFmtId="0" fontId="57" fillId="0" borderId="0" xfId="0" applyFont="1"/>
    <xf numFmtId="0" fontId="1" fillId="0" borderId="1" xfId="0" applyFont="1" applyBorder="1" applyAlignment="1">
      <alignment wrapText="1"/>
    </xf>
    <xf numFmtId="0" fontId="1" fillId="0" borderId="1" xfId="0" applyFont="1" applyBorder="1"/>
    <xf numFmtId="3" fontId="0" fillId="14" borderId="1" xfId="0" applyNumberFormat="1" applyFill="1" applyBorder="1" applyProtection="1">
      <protection locked="0"/>
    </xf>
    <xf numFmtId="3" fontId="7" fillId="0" borderId="8" xfId="0" applyNumberFormat="1" applyFont="1" applyBorder="1"/>
    <xf numFmtId="3" fontId="7" fillId="0" borderId="24" xfId="0" applyNumberFormat="1" applyFont="1" applyBorder="1"/>
    <xf numFmtId="3" fontId="6" fillId="10" borderId="5" xfId="0" applyNumberFormat="1" applyFont="1" applyFill="1" applyBorder="1"/>
    <xf numFmtId="3" fontId="6" fillId="0" borderId="5" xfId="0" applyNumberFormat="1" applyFont="1" applyBorder="1"/>
    <xf numFmtId="3" fontId="6" fillId="0" borderId="5" xfId="0" applyNumberFormat="1" applyFont="1" applyBorder="1" applyAlignment="1">
      <alignment horizontal="right"/>
    </xf>
    <xf numFmtId="3" fontId="6" fillId="10" borderId="51" xfId="0" applyNumberFormat="1" applyFont="1" applyFill="1" applyBorder="1"/>
    <xf numFmtId="3" fontId="6" fillId="0" borderId="54" xfId="0" applyNumberFormat="1" applyFont="1" applyBorder="1" applyAlignment="1">
      <alignment horizontal="right"/>
    </xf>
    <xf numFmtId="0" fontId="6" fillId="11" borderId="19" xfId="0" applyFont="1" applyFill="1" applyBorder="1" applyAlignment="1">
      <alignment horizontal="center"/>
    </xf>
    <xf numFmtId="3" fontId="6" fillId="0" borderId="19" xfId="0" applyNumberFormat="1" applyFont="1" applyBorder="1"/>
    <xf numFmtId="3" fontId="6" fillId="10" borderId="55" xfId="0" applyNumberFormat="1" applyFont="1" applyFill="1" applyBorder="1" applyAlignment="1">
      <alignment horizontal="left"/>
    </xf>
    <xf numFmtId="164" fontId="11" fillId="11" borderId="17" xfId="3" applyFont="1" applyFill="1" applyBorder="1" applyAlignment="1" applyProtection="1">
      <alignment horizontal="center"/>
      <protection locked="0"/>
    </xf>
    <xf numFmtId="164" fontId="11" fillId="11" borderId="19" xfId="3" applyFont="1" applyFill="1" applyBorder="1" applyAlignment="1" applyProtection="1">
      <alignment horizontal="center"/>
      <protection locked="0"/>
    </xf>
    <xf numFmtId="3" fontId="4" fillId="0" borderId="54" xfId="3" applyNumberFormat="1" applyFont="1" applyBorder="1" applyAlignment="1" applyProtection="1">
      <alignment horizontal="right" wrapText="1"/>
      <protection locked="0"/>
    </xf>
    <xf numFmtId="164" fontId="7" fillId="0" borderId="19" xfId="3" applyFont="1" applyBorder="1" applyProtection="1">
      <protection locked="0"/>
    </xf>
    <xf numFmtId="164" fontId="4" fillId="0" borderId="54" xfId="3" applyFont="1" applyBorder="1" applyAlignment="1" applyProtection="1">
      <alignment horizontal="right" wrapText="1"/>
      <protection locked="0"/>
    </xf>
    <xf numFmtId="165" fontId="6" fillId="10" borderId="19" xfId="3" applyNumberFormat="1" applyFont="1" applyFill="1" applyBorder="1" applyAlignment="1" applyProtection="1">
      <alignment horizontal="right"/>
      <protection locked="0"/>
    </xf>
    <xf numFmtId="3" fontId="7" fillId="0" borderId="31" xfId="0" applyNumberFormat="1" applyFont="1" applyBorder="1" applyAlignment="1">
      <alignment horizontal="right"/>
    </xf>
    <xf numFmtId="3" fontId="7" fillId="0" borderId="53" xfId="0" applyNumberFormat="1" applyFont="1" applyBorder="1" applyAlignment="1">
      <alignment horizontal="right"/>
    </xf>
    <xf numFmtId="165" fontId="6" fillId="10" borderId="39" xfId="3" applyNumberFormat="1" applyFont="1" applyFill="1" applyBorder="1" applyAlignment="1" applyProtection="1">
      <alignment horizontal="right"/>
      <protection locked="0"/>
    </xf>
    <xf numFmtId="3" fontId="6" fillId="10" borderId="1" xfId="0" applyNumberFormat="1" applyFont="1" applyFill="1" applyBorder="1" applyAlignment="1">
      <alignment horizontal="right"/>
    </xf>
    <xf numFmtId="3" fontId="6" fillId="10" borderId="54" xfId="0" applyNumberFormat="1" applyFont="1" applyFill="1" applyBorder="1" applyAlignment="1">
      <alignment horizontal="right"/>
    </xf>
    <xf numFmtId="165" fontId="6" fillId="10" borderId="36" xfId="3" applyNumberFormat="1" applyFont="1" applyFill="1" applyBorder="1" applyAlignment="1" applyProtection="1">
      <alignment horizontal="right"/>
      <protection locked="0"/>
    </xf>
    <xf numFmtId="3" fontId="7" fillId="0" borderId="9" xfId="0" applyNumberFormat="1" applyFont="1" applyBorder="1" applyAlignment="1">
      <alignment horizontal="right"/>
    </xf>
    <xf numFmtId="3" fontId="7" fillId="0" borderId="52" xfId="0" applyNumberFormat="1" applyFont="1" applyBorder="1" applyAlignment="1">
      <alignment horizontal="right"/>
    </xf>
    <xf numFmtId="165" fontId="6" fillId="0" borderId="36" xfId="3" applyNumberFormat="1" applyFont="1" applyBorder="1" applyAlignment="1" applyProtection="1">
      <alignment horizontal="right"/>
      <protection locked="0"/>
    </xf>
    <xf numFmtId="3" fontId="7" fillId="0" borderId="7" xfId="0" applyNumberFormat="1" applyFont="1" applyBorder="1" applyAlignment="1">
      <alignment horizontal="right"/>
    </xf>
    <xf numFmtId="3" fontId="7" fillId="0" borderId="36" xfId="0" applyNumberFormat="1" applyFont="1" applyBorder="1" applyAlignment="1">
      <alignment horizontal="right"/>
    </xf>
    <xf numFmtId="3" fontId="7" fillId="0" borderId="0" xfId="0" applyNumberFormat="1" applyFont="1" applyAlignment="1">
      <alignment horizontal="right"/>
    </xf>
    <xf numFmtId="3" fontId="7" fillId="0" borderId="19" xfId="0" applyNumberFormat="1" applyFont="1" applyBorder="1" applyAlignment="1">
      <alignment horizontal="right"/>
    </xf>
    <xf numFmtId="165" fontId="6" fillId="0" borderId="1" xfId="3" applyNumberFormat="1" applyFont="1" applyBorder="1" applyAlignment="1">
      <alignment horizontal="right"/>
    </xf>
    <xf numFmtId="165" fontId="6" fillId="0" borderId="54" xfId="3" applyNumberFormat="1" applyFont="1" applyBorder="1" applyAlignment="1">
      <alignment horizontal="right"/>
    </xf>
    <xf numFmtId="165" fontId="6" fillId="0" borderId="1" xfId="3" applyNumberFormat="1" applyFont="1" applyBorder="1" applyAlignment="1" applyProtection="1">
      <alignment horizontal="right"/>
      <protection locked="0"/>
    </xf>
    <xf numFmtId="165" fontId="6" fillId="0" borderId="54" xfId="3" applyNumberFormat="1" applyFont="1" applyBorder="1" applyAlignment="1" applyProtection="1">
      <alignment horizontal="right"/>
      <protection locked="0"/>
    </xf>
    <xf numFmtId="165" fontId="6" fillId="10" borderId="1" xfId="3" applyNumberFormat="1" applyFont="1" applyFill="1" applyBorder="1" applyAlignment="1">
      <alignment horizontal="right"/>
    </xf>
    <xf numFmtId="165" fontId="6" fillId="10" borderId="54" xfId="3" applyNumberFormat="1" applyFont="1" applyFill="1" applyBorder="1" applyAlignment="1">
      <alignment horizontal="right"/>
    </xf>
    <xf numFmtId="165" fontId="6" fillId="10" borderId="1" xfId="3" applyNumberFormat="1" applyFont="1" applyFill="1" applyBorder="1" applyAlignment="1" applyProtection="1">
      <alignment horizontal="right"/>
      <protection locked="0"/>
    </xf>
    <xf numFmtId="165" fontId="6" fillId="10" borderId="54" xfId="3" applyNumberFormat="1" applyFont="1" applyFill="1" applyBorder="1" applyAlignment="1" applyProtection="1">
      <alignment horizontal="right"/>
      <protection locked="0"/>
    </xf>
    <xf numFmtId="164" fontId="7" fillId="10" borderId="1" xfId="3" applyFont="1" applyFill="1" applyBorder="1" applyAlignment="1" applyProtection="1">
      <alignment horizontal="right"/>
      <protection locked="0"/>
    </xf>
    <xf numFmtId="164" fontId="7" fillId="10" borderId="54" xfId="3" applyFont="1" applyFill="1" applyBorder="1" applyAlignment="1" applyProtection="1">
      <alignment horizontal="right"/>
      <protection locked="0"/>
    </xf>
    <xf numFmtId="165" fontId="6" fillId="10" borderId="40" xfId="3" applyNumberFormat="1" applyFont="1" applyFill="1" applyBorder="1" applyAlignment="1" applyProtection="1">
      <alignment horizontal="right"/>
      <protection locked="0"/>
    </xf>
    <xf numFmtId="3" fontId="6" fillId="10" borderId="25" xfId="0" applyNumberFormat="1" applyFont="1" applyFill="1" applyBorder="1" applyAlignment="1">
      <alignment horizontal="right"/>
    </xf>
    <xf numFmtId="3" fontId="6" fillId="10" borderId="56" xfId="0" applyNumberFormat="1" applyFont="1" applyFill="1" applyBorder="1" applyAlignment="1">
      <alignment horizontal="right"/>
    </xf>
    <xf numFmtId="14" fontId="7" fillId="8" borderId="1" xfId="0" applyNumberFormat="1" applyFont="1" applyFill="1" applyBorder="1" applyProtection="1">
      <protection locked="0"/>
    </xf>
    <xf numFmtId="164" fontId="6" fillId="0" borderId="12" xfId="3" applyFont="1" applyFill="1" applyBorder="1" applyAlignment="1" applyProtection="1">
      <alignment horizontal="left"/>
    </xf>
    <xf numFmtId="9" fontId="7" fillId="0" borderId="12" xfId="2" applyFont="1" applyBorder="1" applyAlignment="1" applyProtection="1"/>
    <xf numFmtId="164" fontId="6" fillId="0" borderId="33" xfId="3" applyFont="1" applyFill="1" applyBorder="1" applyAlignment="1" applyProtection="1">
      <alignment horizontal="left"/>
    </xf>
    <xf numFmtId="9" fontId="7" fillId="0" borderId="33" xfId="2" applyFont="1" applyBorder="1" applyAlignment="1" applyProtection="1"/>
    <xf numFmtId="164" fontId="6" fillId="0" borderId="0" xfId="3" applyFont="1" applyFill="1" applyBorder="1" applyAlignment="1" applyProtection="1">
      <alignment wrapText="1"/>
    </xf>
    <xf numFmtId="164" fontId="7" fillId="0" borderId="0" xfId="3" applyFont="1" applyBorder="1" applyAlignment="1" applyProtection="1"/>
    <xf numFmtId="0" fontId="4" fillId="0" borderId="0" xfId="0" applyFont="1" applyAlignment="1">
      <alignment wrapText="1"/>
    </xf>
    <xf numFmtId="0" fontId="11" fillId="0" borderId="0" xfId="0" quotePrefix="1" applyFont="1"/>
    <xf numFmtId="0" fontId="6" fillId="0" borderId="14" xfId="0" applyFont="1" applyBorder="1"/>
    <xf numFmtId="0" fontId="6" fillId="13" borderId="0" xfId="0" applyFont="1" applyFill="1"/>
    <xf numFmtId="0" fontId="5" fillId="10" borderId="23" xfId="0" applyFont="1" applyFill="1" applyBorder="1"/>
    <xf numFmtId="0" fontId="3" fillId="0" borderId="22" xfId="0" applyFont="1" applyBorder="1"/>
    <xf numFmtId="0" fontId="11" fillId="0" borderId="0" xfId="0" applyFont="1"/>
    <xf numFmtId="164" fontId="7" fillId="0" borderId="0" xfId="3" applyFont="1" applyFill="1" applyBorder="1" applyProtection="1"/>
    <xf numFmtId="0" fontId="7" fillId="0" borderId="24" xfId="0" applyFont="1" applyBorder="1"/>
    <xf numFmtId="0" fontId="7" fillId="0" borderId="7" xfId="0" applyFont="1" applyBorder="1"/>
    <xf numFmtId="0" fontId="7" fillId="0" borderId="15" xfId="0" applyFont="1" applyBorder="1"/>
    <xf numFmtId="0" fontId="6" fillId="13" borderId="0" xfId="0" applyFont="1" applyFill="1" applyAlignment="1">
      <alignment horizontal="right"/>
    </xf>
    <xf numFmtId="14" fontId="7" fillId="0" borderId="44" xfId="0" applyNumberFormat="1" applyFont="1" applyBorder="1"/>
    <xf numFmtId="164" fontId="7" fillId="0" borderId="15" xfId="3" applyFont="1" applyFill="1" applyBorder="1" applyProtection="1"/>
    <xf numFmtId="164" fontId="7" fillId="0" borderId="0" xfId="3" applyFont="1" applyFill="1" applyProtection="1"/>
    <xf numFmtId="164" fontId="4" fillId="0" borderId="0" xfId="3" applyFont="1" applyProtection="1"/>
    <xf numFmtId="164" fontId="7" fillId="0" borderId="0" xfId="3" applyFont="1" applyFill="1" applyBorder="1" applyAlignment="1" applyProtection="1">
      <alignment horizontal="center"/>
    </xf>
    <xf numFmtId="164" fontId="6" fillId="0" borderId="19" xfId="3" applyFont="1" applyFill="1" applyBorder="1" applyAlignment="1" applyProtection="1">
      <alignment horizontal="left"/>
    </xf>
    <xf numFmtId="164" fontId="6" fillId="0" borderId="19" xfId="3" applyFont="1" applyFill="1" applyBorder="1" applyAlignment="1" applyProtection="1"/>
    <xf numFmtId="0" fontId="50" fillId="0" borderId="0" xfId="0" applyFont="1"/>
    <xf numFmtId="164" fontId="7" fillId="0" borderId="15" xfId="3" applyFont="1" applyFill="1" applyBorder="1" applyAlignment="1" applyProtection="1">
      <alignment horizontal="center"/>
    </xf>
    <xf numFmtId="164" fontId="4" fillId="10" borderId="26" xfId="3" applyFont="1" applyFill="1" applyBorder="1" applyAlignment="1" applyProtection="1">
      <alignment horizontal="center"/>
    </xf>
    <xf numFmtId="164" fontId="4" fillId="10" borderId="26" xfId="3" applyFont="1" applyFill="1" applyBorder="1" applyProtection="1"/>
    <xf numFmtId="164" fontId="4" fillId="10" borderId="30" xfId="3" applyFont="1" applyFill="1" applyBorder="1" applyProtection="1"/>
    <xf numFmtId="164" fontId="4" fillId="0" borderId="0" xfId="3" applyFont="1" applyFill="1" applyBorder="1" applyProtection="1"/>
    <xf numFmtId="164" fontId="5" fillId="0" borderId="0" xfId="3" applyFont="1" applyProtection="1"/>
    <xf numFmtId="0" fontId="37" fillId="0" borderId="0" xfId="0" applyFont="1" applyAlignment="1">
      <alignment horizontal="left"/>
    </xf>
    <xf numFmtId="0" fontId="41" fillId="0" borderId="0" xfId="6" applyFont="1" applyFill="1" applyBorder="1" applyAlignment="1" applyProtection="1">
      <alignment vertical="center"/>
    </xf>
    <xf numFmtId="0" fontId="37" fillId="0" borderId="0" xfId="0" applyFont="1"/>
    <xf numFmtId="0" fontId="37" fillId="0" borderId="19" xfId="0" applyFont="1" applyBorder="1"/>
    <xf numFmtId="0" fontId="36" fillId="0" borderId="0" xfId="6" applyFont="1" applyFill="1" applyBorder="1" applyAlignment="1" applyProtection="1">
      <alignment vertical="center"/>
    </xf>
    <xf numFmtId="0" fontId="37" fillId="8" borderId="2" xfId="0" applyFont="1" applyFill="1" applyBorder="1" applyAlignment="1">
      <alignment horizontal="left"/>
    </xf>
    <xf numFmtId="0" fontId="37" fillId="8" borderId="5" xfId="0" applyFont="1" applyFill="1" applyBorder="1" applyAlignment="1">
      <alignment horizontal="left"/>
    </xf>
    <xf numFmtId="0" fontId="37" fillId="0" borderId="2" xfId="0" applyFont="1" applyBorder="1" applyAlignment="1">
      <alignment horizontal="left"/>
    </xf>
    <xf numFmtId="165" fontId="23" fillId="0" borderId="0" xfId="3" applyNumberFormat="1" applyFont="1" applyFill="1" applyBorder="1" applyAlignment="1" applyProtection="1">
      <alignment wrapText="1"/>
    </xf>
    <xf numFmtId="165" fontId="23" fillId="0" borderId="19" xfId="3" applyNumberFormat="1" applyFont="1" applyFill="1" applyBorder="1" applyAlignment="1" applyProtection="1">
      <alignment wrapText="1"/>
    </xf>
    <xf numFmtId="165" fontId="23" fillId="0" borderId="0" xfId="3" applyNumberFormat="1" applyFont="1" applyFill="1" applyBorder="1" applyAlignment="1" applyProtection="1">
      <alignment horizontal="left" wrapText="1"/>
    </xf>
    <xf numFmtId="165" fontId="23" fillId="0" borderId="15" xfId="3" applyNumberFormat="1" applyFont="1" applyFill="1" applyBorder="1" applyAlignment="1" applyProtection="1">
      <alignment wrapText="1"/>
    </xf>
    <xf numFmtId="165" fontId="23" fillId="0" borderId="20" xfId="3" applyNumberFormat="1" applyFont="1" applyFill="1" applyBorder="1" applyAlignment="1" applyProtection="1">
      <alignment wrapText="1"/>
    </xf>
    <xf numFmtId="0" fontId="4" fillId="10" borderId="34" xfId="0" applyFont="1" applyFill="1" applyBorder="1"/>
    <xf numFmtId="0" fontId="5" fillId="10" borderId="26" xfId="0" applyFont="1" applyFill="1" applyBorder="1" applyAlignment="1">
      <alignment horizontal="right"/>
    </xf>
    <xf numFmtId="0" fontId="4" fillId="10" borderId="26" xfId="0" applyFont="1" applyFill="1" applyBorder="1"/>
    <xf numFmtId="165" fontId="7" fillId="0" borderId="16" xfId="3" applyNumberFormat="1" applyFont="1" applyFill="1" applyBorder="1" applyAlignment="1" applyProtection="1"/>
    <xf numFmtId="165" fontId="7" fillId="0" borderId="0" xfId="3" applyNumberFormat="1" applyFont="1" applyFill="1" applyBorder="1" applyAlignment="1" applyProtection="1"/>
    <xf numFmtId="164" fontId="6" fillId="0" borderId="0" xfId="3" applyFont="1" applyFill="1" applyBorder="1" applyProtection="1"/>
    <xf numFmtId="0" fontId="37" fillId="0" borderId="4" xfId="0" applyFont="1" applyBorder="1" applyAlignment="1">
      <alignment horizontal="left"/>
    </xf>
    <xf numFmtId="0" fontId="38" fillId="0" borderId="0" xfId="0" applyFont="1"/>
    <xf numFmtId="0" fontId="38" fillId="0" borderId="19" xfId="0" applyFont="1" applyBorder="1"/>
    <xf numFmtId="0" fontId="0" fillId="0" borderId="0" xfId="0" applyAlignment="1">
      <alignment wrapText="1"/>
    </xf>
    <xf numFmtId="0" fontId="5" fillId="0" borderId="0" xfId="0" applyFont="1" applyAlignment="1">
      <alignment horizontal="center"/>
    </xf>
    <xf numFmtId="1" fontId="4" fillId="0" borderId="0" xfId="0" applyNumberFormat="1" applyFont="1" applyAlignment="1">
      <alignment horizontal="center"/>
    </xf>
    <xf numFmtId="0" fontId="29" fillId="8" borderId="23" xfId="0" applyFont="1" applyFill="1" applyBorder="1" applyAlignment="1" applyProtection="1">
      <alignment horizontal="left" vertical="center" wrapText="1"/>
      <protection locked="0"/>
    </xf>
    <xf numFmtId="0" fontId="29" fillId="8" borderId="26" xfId="0" applyFont="1" applyFill="1" applyBorder="1" applyAlignment="1" applyProtection="1">
      <alignment horizontal="left" vertical="center" wrapText="1"/>
      <protection locked="0"/>
    </xf>
    <xf numFmtId="0" fontId="29" fillId="8" borderId="30" xfId="0" applyFont="1" applyFill="1" applyBorder="1" applyAlignment="1" applyProtection="1">
      <alignment horizontal="left" vertical="center" wrapText="1"/>
      <protection locked="0"/>
    </xf>
    <xf numFmtId="0" fontId="26" fillId="0" borderId="0" xfId="0" applyFont="1" applyAlignment="1">
      <alignment horizontal="center" vertical="center"/>
    </xf>
    <xf numFmtId="0" fontId="27" fillId="0" borderId="15" xfId="0" applyFont="1" applyBorder="1" applyAlignment="1">
      <alignment horizontal="center" vertical="center" wrapText="1"/>
    </xf>
    <xf numFmtId="0" fontId="27" fillId="0" borderId="0" xfId="0" applyFont="1" applyAlignment="1">
      <alignment horizontal="center" vertical="center"/>
    </xf>
    <xf numFmtId="0" fontId="29" fillId="7" borderId="23" xfId="0" applyFont="1" applyFill="1" applyBorder="1" applyAlignment="1" applyProtection="1">
      <alignment horizontal="left" vertical="center" wrapText="1"/>
      <protection locked="0"/>
    </xf>
    <xf numFmtId="0" fontId="29" fillId="7" borderId="26" xfId="0" applyFont="1" applyFill="1" applyBorder="1" applyAlignment="1" applyProtection="1">
      <alignment horizontal="left" vertical="center" wrapText="1"/>
      <protection locked="0"/>
    </xf>
    <xf numFmtId="0" fontId="29" fillId="7" borderId="30" xfId="0" applyFont="1" applyFill="1" applyBorder="1" applyAlignment="1" applyProtection="1">
      <alignment horizontal="left" vertical="center" wrapText="1"/>
      <protection locked="0"/>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30" xfId="0" applyFont="1" applyBorder="1" applyAlignment="1">
      <alignment horizontal="center" vertical="center" wrapText="1"/>
    </xf>
    <xf numFmtId="0" fontId="28" fillId="5" borderId="23" xfId="0" applyFont="1" applyFill="1" applyBorder="1" applyAlignment="1">
      <alignment horizontal="left" vertical="center" wrapText="1"/>
    </xf>
    <xf numFmtId="0" fontId="28" fillId="5" borderId="30" xfId="0" applyFont="1" applyFill="1" applyBorder="1" applyAlignment="1">
      <alignment horizontal="left" vertical="center" wrapText="1"/>
    </xf>
    <xf numFmtId="14" fontId="29" fillId="7" borderId="23" xfId="0" applyNumberFormat="1" applyFont="1" applyFill="1" applyBorder="1" applyAlignment="1">
      <alignment horizontal="center" vertical="center" wrapText="1"/>
    </xf>
    <xf numFmtId="14" fontId="29" fillId="7" borderId="30" xfId="0" applyNumberFormat="1" applyFont="1" applyFill="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14" fontId="29" fillId="8" borderId="23" xfId="0" applyNumberFormat="1" applyFont="1" applyFill="1" applyBorder="1" applyAlignment="1" applyProtection="1">
      <alignment horizontal="center" vertical="center" wrapText="1"/>
      <protection locked="0"/>
    </xf>
    <xf numFmtId="14" fontId="29" fillId="8" borderId="30" xfId="0" applyNumberFormat="1" applyFont="1" applyFill="1" applyBorder="1" applyAlignment="1" applyProtection="1">
      <alignment horizontal="center" vertical="center" wrapText="1"/>
      <protection locked="0"/>
    </xf>
    <xf numFmtId="0" fontId="28" fillId="0" borderId="22" xfId="0" applyFont="1" applyBorder="1" applyAlignment="1">
      <alignment horizontal="center" vertical="center" wrapText="1"/>
    </xf>
    <xf numFmtId="0" fontId="28" fillId="0" borderId="20" xfId="0" applyFont="1" applyBorder="1" applyAlignment="1">
      <alignment horizontal="center" vertical="center" wrapText="1"/>
    </xf>
    <xf numFmtId="14" fontId="28" fillId="8" borderId="15" xfId="0" applyNumberFormat="1" applyFont="1" applyFill="1" applyBorder="1" applyAlignment="1" applyProtection="1">
      <alignment horizontal="left" vertical="top" wrapText="1"/>
      <protection locked="0"/>
    </xf>
    <xf numFmtId="0" fontId="28" fillId="8" borderId="15" xfId="0" applyFont="1" applyFill="1" applyBorder="1" applyAlignment="1" applyProtection="1">
      <alignment horizontal="left" vertical="top" wrapText="1"/>
      <protection locked="0"/>
    </xf>
    <xf numFmtId="0" fontId="28" fillId="8" borderId="20" xfId="0" applyFont="1" applyFill="1" applyBorder="1" applyAlignment="1" applyProtection="1">
      <alignment horizontal="left" vertical="top" wrapText="1"/>
      <protection locked="0"/>
    </xf>
    <xf numFmtId="0" fontId="29" fillId="0" borderId="2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32" fillId="5" borderId="23" xfId="0" applyFont="1" applyFill="1" applyBorder="1" applyAlignment="1">
      <alignment horizontal="left" vertical="center" wrapText="1"/>
    </xf>
    <xf numFmtId="0" fontId="32" fillId="5" borderId="26" xfId="0" applyFont="1" applyFill="1" applyBorder="1" applyAlignment="1">
      <alignment horizontal="left" vertical="center" wrapText="1"/>
    </xf>
    <xf numFmtId="0" fontId="32" fillId="5" borderId="30" xfId="0" applyFont="1" applyFill="1" applyBorder="1" applyAlignment="1">
      <alignment horizontal="left" vertical="center" wrapText="1"/>
    </xf>
    <xf numFmtId="3" fontId="28" fillId="8" borderId="23" xfId="0" applyNumberFormat="1" applyFont="1" applyFill="1" applyBorder="1" applyAlignment="1" applyProtection="1">
      <alignment horizontal="right" vertical="center" wrapText="1"/>
      <protection locked="0"/>
    </xf>
    <xf numFmtId="3" fontId="28" fillId="8" borderId="30" xfId="0" applyNumberFormat="1" applyFont="1" applyFill="1" applyBorder="1" applyAlignment="1" applyProtection="1">
      <alignment horizontal="right" vertical="center" wrapText="1"/>
      <protection locked="0"/>
    </xf>
    <xf numFmtId="3" fontId="33" fillId="0" borderId="21" xfId="0" applyNumberFormat="1" applyFont="1" applyBorder="1" applyAlignment="1">
      <alignment horizontal="center" vertical="center" wrapText="1"/>
    </xf>
    <xf numFmtId="3" fontId="33" fillId="0" borderId="16" xfId="0" applyNumberFormat="1" applyFont="1" applyBorder="1" applyAlignment="1">
      <alignment horizontal="center" vertical="center" wrapText="1"/>
    </xf>
    <xf numFmtId="3" fontId="33" fillId="0" borderId="17" xfId="0" applyNumberFormat="1" applyFont="1" applyBorder="1" applyAlignment="1">
      <alignment horizontal="center" vertical="center" wrapText="1"/>
    </xf>
    <xf numFmtId="3" fontId="33" fillId="0" borderId="18" xfId="0" applyNumberFormat="1" applyFont="1" applyBorder="1" applyAlignment="1">
      <alignment horizontal="center" vertical="center" wrapText="1"/>
    </xf>
    <xf numFmtId="3" fontId="33" fillId="0" borderId="0" xfId="0" applyNumberFormat="1" applyFont="1" applyAlignment="1">
      <alignment horizontal="center" vertical="center" wrapText="1"/>
    </xf>
    <xf numFmtId="3" fontId="33" fillId="0" borderId="19" xfId="0" applyNumberFormat="1" applyFont="1" applyBorder="1" applyAlignment="1">
      <alignment horizontal="center" vertical="center" wrapText="1"/>
    </xf>
    <xf numFmtId="3" fontId="28" fillId="7" borderId="23" xfId="0" applyNumberFormat="1" applyFont="1" applyFill="1" applyBorder="1" applyAlignment="1">
      <alignment horizontal="right" vertical="center" wrapText="1"/>
    </xf>
    <xf numFmtId="3" fontId="28" fillId="7" borderId="30" xfId="0" applyNumberFormat="1" applyFont="1" applyFill="1" applyBorder="1" applyAlignment="1">
      <alignment horizontal="right" vertical="center" wrapText="1"/>
    </xf>
    <xf numFmtId="3" fontId="35" fillId="0" borderId="18" xfId="0" applyNumberFormat="1" applyFont="1" applyBorder="1" applyAlignment="1">
      <alignment horizontal="center" vertical="center" wrapText="1"/>
    </xf>
    <xf numFmtId="3" fontId="35" fillId="0" borderId="19" xfId="0" applyNumberFormat="1" applyFont="1" applyBorder="1" applyAlignment="1">
      <alignment horizontal="center" vertical="center" wrapText="1"/>
    </xf>
    <xf numFmtId="3" fontId="33" fillId="0" borderId="22" xfId="0" applyNumberFormat="1" applyFont="1" applyBorder="1" applyAlignment="1">
      <alignment horizontal="center" vertical="center" wrapText="1"/>
    </xf>
    <xf numFmtId="3" fontId="33" fillId="0" borderId="15" xfId="0" applyNumberFormat="1" applyFont="1" applyBorder="1" applyAlignment="1">
      <alignment horizontal="center" vertical="center" wrapText="1"/>
    </xf>
    <xf numFmtId="3" fontId="33" fillId="0" borderId="20" xfId="0" applyNumberFormat="1" applyFont="1" applyBorder="1" applyAlignment="1">
      <alignment horizontal="center" vertical="center" wrapText="1"/>
    </xf>
    <xf numFmtId="3" fontId="33" fillId="8" borderId="23" xfId="0" applyNumberFormat="1" applyFont="1" applyFill="1" applyBorder="1" applyAlignment="1" applyProtection="1">
      <alignment horizontal="right" vertical="center" wrapText="1"/>
      <protection locked="0"/>
    </xf>
    <xf numFmtId="3" fontId="33" fillId="8" borderId="30" xfId="0" applyNumberFormat="1" applyFont="1" applyFill="1" applyBorder="1" applyAlignment="1" applyProtection="1">
      <alignment horizontal="right" vertical="center" wrapText="1"/>
      <protection locked="0"/>
    </xf>
    <xf numFmtId="0" fontId="31" fillId="0" borderId="2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0" xfId="0" applyFont="1" applyBorder="1" applyAlignment="1">
      <alignment horizontal="center" vertical="center" wrapText="1"/>
    </xf>
    <xf numFmtId="3" fontId="33" fillId="0" borderId="23" xfId="0" applyNumberFormat="1" applyFont="1" applyBorder="1" applyAlignment="1">
      <alignment horizontal="right" vertical="center" wrapText="1"/>
    </xf>
    <xf numFmtId="3" fontId="33" fillId="0" borderId="26" xfId="0" applyNumberFormat="1" applyFont="1" applyBorder="1" applyAlignment="1">
      <alignment horizontal="right" vertical="center" wrapText="1"/>
    </xf>
    <xf numFmtId="3" fontId="33" fillId="0" borderId="30" xfId="0" applyNumberFormat="1" applyFont="1" applyBorder="1" applyAlignment="1">
      <alignment horizontal="right" vertical="center" wrapText="1"/>
    </xf>
    <xf numFmtId="0" fontId="28" fillId="5" borderId="26" xfId="0" applyFont="1" applyFill="1" applyBorder="1" applyAlignment="1">
      <alignment horizontal="left" vertical="center" wrapText="1"/>
    </xf>
    <xf numFmtId="9" fontId="33" fillId="7" borderId="23" xfId="2" applyFont="1" applyFill="1" applyBorder="1" applyAlignment="1">
      <alignment horizontal="right" vertical="center" wrapText="1"/>
    </xf>
    <xf numFmtId="9" fontId="33" fillId="7" borderId="30" xfId="2" applyFont="1" applyFill="1" applyBorder="1" applyAlignment="1">
      <alignment horizontal="right" vertical="center" wrapText="1"/>
    </xf>
    <xf numFmtId="0" fontId="28" fillId="5" borderId="22"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9" fillId="8" borderId="26" xfId="0" applyFont="1" applyFill="1" applyBorder="1" applyAlignment="1" applyProtection="1">
      <alignment horizontal="center" vertical="center" wrapText="1"/>
      <protection locked="0"/>
    </xf>
    <xf numFmtId="0" fontId="29" fillId="8" borderId="30" xfId="0" applyFont="1" applyFill="1" applyBorder="1" applyAlignment="1" applyProtection="1">
      <alignment horizontal="center" vertical="center" wrapText="1"/>
      <protection locked="0"/>
    </xf>
    <xf numFmtId="0" fontId="28" fillId="0" borderId="21" xfId="0" applyFont="1" applyBorder="1" applyAlignment="1">
      <alignment horizontal="center" vertical="center" wrapText="1"/>
    </xf>
    <xf numFmtId="0" fontId="28" fillId="0" borderId="17" xfId="0" applyFont="1" applyBorder="1" applyAlignment="1">
      <alignment horizontal="center" vertical="center" wrapText="1"/>
    </xf>
    <xf numFmtId="14" fontId="29" fillId="8" borderId="23" xfId="0" applyNumberFormat="1" applyFont="1" applyFill="1" applyBorder="1" applyAlignment="1" applyProtection="1">
      <alignment horizontal="left" vertical="center" wrapText="1"/>
      <protection locked="0"/>
    </xf>
    <xf numFmtId="14" fontId="29" fillId="8" borderId="30" xfId="0" applyNumberFormat="1" applyFont="1" applyFill="1" applyBorder="1" applyAlignment="1" applyProtection="1">
      <alignment horizontal="left" vertical="center" wrapText="1"/>
      <protection locked="0"/>
    </xf>
    <xf numFmtId="0" fontId="28" fillId="5" borderId="21"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8" fillId="5" borderId="18" xfId="0" quotePrefix="1" applyFont="1" applyFill="1" applyBorder="1" applyAlignment="1">
      <alignment horizontal="left" vertical="center" wrapText="1"/>
    </xf>
    <xf numFmtId="0" fontId="28" fillId="5" borderId="19" xfId="0" applyFont="1" applyFill="1" applyBorder="1" applyAlignment="1">
      <alignment horizontal="left" vertical="center" wrapText="1"/>
    </xf>
    <xf numFmtId="0" fontId="29" fillId="8" borderId="23" xfId="0" applyFont="1" applyFill="1" applyBorder="1" applyAlignment="1" applyProtection="1">
      <alignment horizontal="center" vertical="center" wrapText="1"/>
      <protection locked="0"/>
    </xf>
    <xf numFmtId="0" fontId="29" fillId="8" borderId="17" xfId="0" applyFont="1" applyFill="1" applyBorder="1" applyAlignment="1" applyProtection="1">
      <alignment horizontal="left" vertical="center" wrapText="1"/>
      <protection locked="0"/>
    </xf>
    <xf numFmtId="0" fontId="28"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30" xfId="0" applyFont="1" applyBorder="1" applyAlignment="1">
      <alignment horizontal="center" vertical="center" wrapText="1"/>
    </xf>
    <xf numFmtId="0" fontId="28" fillId="8" borderId="23" xfId="0" applyFont="1" applyFill="1" applyBorder="1" applyAlignment="1" applyProtection="1">
      <alignment horizontal="center" vertical="center" wrapText="1"/>
      <protection locked="0"/>
    </xf>
    <xf numFmtId="0" fontId="28" fillId="8" borderId="26" xfId="0" applyFont="1" applyFill="1" applyBorder="1" applyAlignment="1" applyProtection="1">
      <alignment horizontal="center" vertical="center" wrapText="1"/>
      <protection locked="0"/>
    </xf>
    <xf numFmtId="0" fontId="28" fillId="8" borderId="30" xfId="0" applyFont="1" applyFill="1" applyBorder="1" applyAlignment="1" applyProtection="1">
      <alignment horizontal="center" vertical="center" wrapText="1"/>
      <protection locked="0"/>
    </xf>
    <xf numFmtId="0" fontId="31" fillId="0" borderId="2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7" fillId="8" borderId="4" xfId="0" applyFont="1" applyFill="1" applyBorder="1" applyAlignment="1" applyProtection="1">
      <alignment horizontal="left"/>
      <protection locked="0"/>
    </xf>
    <xf numFmtId="0" fontId="7" fillId="8" borderId="2" xfId="0" applyFont="1" applyFill="1" applyBorder="1" applyAlignment="1" applyProtection="1">
      <alignment horizontal="left"/>
      <protection locked="0"/>
    </xf>
    <xf numFmtId="0" fontId="7" fillId="8" borderId="5" xfId="0" applyFont="1" applyFill="1" applyBorder="1" applyAlignment="1" applyProtection="1">
      <alignment horizontal="left"/>
      <protection locked="0"/>
    </xf>
    <xf numFmtId="0" fontId="7" fillId="8" borderId="4" xfId="0" applyFont="1" applyFill="1" applyBorder="1" applyAlignment="1" applyProtection="1">
      <alignment horizontal="center"/>
      <protection locked="0"/>
    </xf>
    <xf numFmtId="0" fontId="7" fillId="8" borderId="2" xfId="0" applyFont="1" applyFill="1" applyBorder="1" applyAlignment="1" applyProtection="1">
      <alignment horizontal="center"/>
      <protection locked="0"/>
    </xf>
    <xf numFmtId="0" fontId="7" fillId="8" borderId="5" xfId="0" applyFont="1" applyFill="1" applyBorder="1" applyAlignment="1" applyProtection="1">
      <alignment horizontal="center"/>
      <protection locked="0"/>
    </xf>
    <xf numFmtId="1" fontId="6" fillId="0" borderId="4" xfId="0" applyNumberFormat="1"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14" xfId="0" applyFont="1" applyBorder="1" applyAlignment="1">
      <alignment horizontal="right"/>
    </xf>
    <xf numFmtId="0" fontId="6" fillId="0" borderId="0" xfId="0" applyFont="1" applyAlignment="1">
      <alignment horizontal="right"/>
    </xf>
    <xf numFmtId="0" fontId="6" fillId="0" borderId="24" xfId="0" applyFont="1" applyBorder="1" applyAlignment="1">
      <alignment horizontal="right"/>
    </xf>
    <xf numFmtId="0" fontId="37" fillId="8" borderId="4" xfId="0" applyFont="1" applyFill="1" applyBorder="1" applyAlignment="1" applyProtection="1">
      <alignment horizontal="center" wrapText="1"/>
      <protection locked="0"/>
    </xf>
    <xf numFmtId="0" fontId="37" fillId="8" borderId="2" xfId="0" applyFont="1" applyFill="1" applyBorder="1" applyAlignment="1" applyProtection="1">
      <alignment horizontal="center"/>
      <protection locked="0"/>
    </xf>
    <xf numFmtId="0" fontId="37" fillId="8" borderId="5" xfId="0" applyFont="1" applyFill="1" applyBorder="1" applyAlignment="1" applyProtection="1">
      <alignment horizontal="center"/>
      <protection locked="0"/>
    </xf>
    <xf numFmtId="0" fontId="37" fillId="8" borderId="2" xfId="0" applyFont="1" applyFill="1" applyBorder="1" applyAlignment="1" applyProtection="1">
      <alignment horizontal="center" wrapText="1"/>
      <protection locked="0"/>
    </xf>
    <xf numFmtId="0" fontId="37" fillId="8" borderId="5" xfId="0" applyFont="1" applyFill="1" applyBorder="1" applyAlignment="1" applyProtection="1">
      <alignment horizontal="center" wrapText="1"/>
      <protection locked="0"/>
    </xf>
    <xf numFmtId="0" fontId="6" fillId="0" borderId="6" xfId="0" applyFont="1" applyBorder="1" applyAlignment="1">
      <alignment horizontal="right"/>
    </xf>
    <xf numFmtId="0" fontId="4" fillId="0" borderId="7" xfId="0" applyFont="1" applyBorder="1" applyAlignment="1">
      <alignment horizontal="right"/>
    </xf>
    <xf numFmtId="0" fontId="7" fillId="8" borderId="6" xfId="0" applyFont="1" applyFill="1" applyBorder="1" applyProtection="1">
      <protection locked="0"/>
    </xf>
    <xf numFmtId="0" fontId="0" fillId="8" borderId="8" xfId="0" applyFill="1" applyBorder="1" applyProtection="1">
      <protection locked="0"/>
    </xf>
    <xf numFmtId="0" fontId="7" fillId="8" borderId="4" xfId="0" applyFont="1" applyFill="1" applyBorder="1" applyProtection="1">
      <protection locked="0"/>
    </xf>
    <xf numFmtId="0" fontId="0" fillId="8" borderId="5" xfId="0" applyFill="1" applyBorder="1" applyProtection="1">
      <protection locked="0"/>
    </xf>
    <xf numFmtId="0" fontId="37" fillId="0" borderId="45" xfId="0" applyFont="1" applyBorder="1" applyAlignment="1">
      <alignment horizontal="left"/>
    </xf>
    <xf numFmtId="0" fontId="37" fillId="0" borderId="46" xfId="0" applyFont="1" applyBorder="1" applyAlignment="1">
      <alignment horizontal="left"/>
    </xf>
    <xf numFmtId="0" fontId="37" fillId="0" borderId="47" xfId="0" applyFont="1" applyBorder="1" applyAlignment="1">
      <alignment horizontal="left"/>
    </xf>
    <xf numFmtId="0" fontId="7" fillId="8" borderId="5" xfId="0" applyFont="1" applyFill="1" applyBorder="1" applyProtection="1">
      <protection locked="0"/>
    </xf>
    <xf numFmtId="0" fontId="21" fillId="11" borderId="23" xfId="0" applyFont="1" applyFill="1" applyBorder="1" applyAlignment="1">
      <alignment horizontal="center"/>
    </xf>
    <xf numFmtId="0" fontId="21" fillId="11" borderId="26" xfId="0" applyFont="1" applyFill="1" applyBorder="1" applyAlignment="1">
      <alignment horizontal="center"/>
    </xf>
    <xf numFmtId="0" fontId="21" fillId="11" borderId="30" xfId="0" applyFont="1" applyFill="1" applyBorder="1" applyAlignment="1">
      <alignment horizontal="center"/>
    </xf>
  </cellXfs>
  <cellStyles count="8">
    <cellStyle name="60% - Accent6" xfId="6" builtinId="52"/>
    <cellStyle name="Comma" xfId="3" builtinId="3"/>
    <cellStyle name="Comma 2" xfId="4" xr:uid="{C92640FB-ABD0-43E7-9258-7665AE22FF6B}"/>
    <cellStyle name="Hyperlink" xfId="7" builtinId="8"/>
    <cellStyle name="Hyperlink 2" xfId="5" xr:uid="{A9CEAA37-C56A-40A6-8E77-B0E8F2FD104F}"/>
    <cellStyle name="Komma 2" xfId="1" xr:uid="{00000000-0005-0000-0000-000002000000}"/>
    <cellStyle name="Normal" xfId="0" builtinId="0"/>
    <cellStyle name="Percent" xfId="2" builtinId="5"/>
  </cellStyles>
  <dxfs count="61">
    <dxf>
      <fill>
        <patternFill>
          <bgColor theme="6" tint="0.39994506668294322"/>
        </patternFill>
      </fill>
      <border>
        <left style="thin">
          <color auto="1"/>
        </left>
        <right style="thin">
          <color auto="1"/>
        </right>
        <top style="thin">
          <color auto="1"/>
        </top>
        <bottom style="thin">
          <color auto="1"/>
        </bottom>
        <vertical/>
        <horizontal/>
      </border>
    </dxf>
    <dxf>
      <fill>
        <patternFill>
          <bgColor theme="6"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6" tint="0.59999389629810485"/>
        </patternFill>
      </fill>
    </dxf>
    <dxf>
      <border>
        <bottom style="thin">
          <color indexed="64"/>
        </bottom>
      </border>
    </dxf>
    <dxf>
      <font>
        <b/>
        <i val="0"/>
        <strike val="0"/>
        <condense val="0"/>
        <extend val="0"/>
        <outline val="0"/>
        <shadow val="0"/>
        <u val="none"/>
        <vertAlign val="baseline"/>
        <sz val="11"/>
        <color auto="1"/>
        <name val="Arial"/>
        <family val="2"/>
        <scheme val="none"/>
      </font>
      <border diagonalUp="0" diagonalDown="0">
        <left style="thin">
          <color indexed="64"/>
        </left>
        <right style="thin">
          <color indexed="64"/>
        </right>
        <top/>
        <bottom/>
        <vertical style="thin">
          <color indexed="64"/>
        </vertical>
        <horizontal style="thin">
          <color indexed="64"/>
        </horizontal>
      </border>
    </dxf>
    <dxf>
      <numFmt numFmtId="166" formatCode="m/d/yyyy"/>
    </dxf>
    <dxf>
      <numFmt numFmtId="0" formatCode="General"/>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numFmt numFmtId="1" formatCode="0"/>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dxf>
    <dxf>
      <numFmt numFmtId="0" formatCode="Genera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indexed="65"/>
        </patternFill>
      </fill>
    </dxf>
  </dxfs>
  <tableStyles count="0" defaultTableStyle="TableStyleMedium9" defaultPivotStyle="PivotStyleLight16"/>
  <colors>
    <mruColors>
      <color rgb="FFFA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eetMetadata" Target="metadata.xml"/><Relationship Id="rId30"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Add new grant source'!A1"/></Relationships>
</file>

<file path=xl/drawings/_rels/drawing2.xml.rels><?xml version="1.0" encoding="UTF-8" standalone="yes"?>
<Relationships xmlns="http://schemas.openxmlformats.org/package/2006/relationships"><Relationship Id="rId1" Type="http://schemas.openxmlformats.org/officeDocument/2006/relationships/hyperlink" Target="#'Add new grant source'!A1"/></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1131792</xdr:colOff>
      <xdr:row>4</xdr:row>
      <xdr:rowOff>44823</xdr:rowOff>
    </xdr:from>
    <xdr:to>
      <xdr:col>1</xdr:col>
      <xdr:colOff>1815353</xdr:colOff>
      <xdr:row>4</xdr:row>
      <xdr:rowOff>257734</xdr:rowOff>
    </xdr:to>
    <xdr:sp macro="" textlink="">
      <xdr:nvSpPr>
        <xdr:cNvPr id="2" name="Rektangel: afrundede hjørner 1">
          <a:hlinkClick xmlns:r="http://schemas.openxmlformats.org/officeDocument/2006/relationships" r:id="rId1"/>
          <a:extLst>
            <a:ext uri="{FF2B5EF4-FFF2-40B4-BE49-F238E27FC236}">
              <a16:creationId xmlns:a16="http://schemas.microsoft.com/office/drawing/2014/main" id="{ADD6DCA3-8D66-894A-4270-A1983EFB9CA9}"/>
            </a:ext>
          </a:extLst>
        </xdr:cNvPr>
        <xdr:cNvSpPr/>
      </xdr:nvSpPr>
      <xdr:spPr>
        <a:xfrm>
          <a:off x="1815351" y="1725705"/>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twoCellAnchor>
    <xdr:from>
      <xdr:col>1</xdr:col>
      <xdr:colOff>1126130</xdr:colOff>
      <xdr:row>5</xdr:row>
      <xdr:rowOff>40341</xdr:rowOff>
    </xdr:from>
    <xdr:to>
      <xdr:col>1</xdr:col>
      <xdr:colOff>1809691</xdr:colOff>
      <xdr:row>5</xdr:row>
      <xdr:rowOff>253252</xdr:rowOff>
    </xdr:to>
    <xdr:sp macro="" textlink="">
      <xdr:nvSpPr>
        <xdr:cNvPr id="3" name="Rektangel: afrundede hjørner 2">
          <a:hlinkClick xmlns:r="http://schemas.openxmlformats.org/officeDocument/2006/relationships" r:id="rId1"/>
          <a:extLst>
            <a:ext uri="{FF2B5EF4-FFF2-40B4-BE49-F238E27FC236}">
              <a16:creationId xmlns:a16="http://schemas.microsoft.com/office/drawing/2014/main" id="{26D72B9D-A855-4084-BA3E-EDD072BB16D1}"/>
            </a:ext>
          </a:extLst>
        </xdr:cNvPr>
        <xdr:cNvSpPr/>
      </xdr:nvSpPr>
      <xdr:spPr>
        <a:xfrm>
          <a:off x="1812933" y="2035578"/>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1128555</xdr:colOff>
      <xdr:row>5</xdr:row>
      <xdr:rowOff>49406</xdr:rowOff>
    </xdr:from>
    <xdr:to>
      <xdr:col>1</xdr:col>
      <xdr:colOff>1812116</xdr:colOff>
      <xdr:row>5</xdr:row>
      <xdr:rowOff>262317</xdr:rowOff>
    </xdr:to>
    <xdr:sp macro="" textlink="">
      <xdr:nvSpPr>
        <xdr:cNvPr id="2" name="Rektangel: afrundede hjørner 1">
          <a:hlinkClick xmlns:r="http://schemas.openxmlformats.org/officeDocument/2006/relationships" r:id="rId1"/>
          <a:extLst>
            <a:ext uri="{FF2B5EF4-FFF2-40B4-BE49-F238E27FC236}">
              <a16:creationId xmlns:a16="http://schemas.microsoft.com/office/drawing/2014/main" id="{F796A9D6-436A-49D3-AEF9-AD6624D24B1D}"/>
            </a:ext>
          </a:extLst>
        </xdr:cNvPr>
        <xdr:cNvSpPr/>
      </xdr:nvSpPr>
      <xdr:spPr>
        <a:xfrm>
          <a:off x="1814355" y="2014277"/>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twoCellAnchor>
    <xdr:from>
      <xdr:col>1</xdr:col>
      <xdr:colOff>1127090</xdr:colOff>
      <xdr:row>4</xdr:row>
      <xdr:rowOff>40613</xdr:rowOff>
    </xdr:from>
    <xdr:to>
      <xdr:col>1</xdr:col>
      <xdr:colOff>1810651</xdr:colOff>
      <xdr:row>4</xdr:row>
      <xdr:rowOff>253524</xdr:rowOff>
    </xdr:to>
    <xdr:sp macro="" textlink="">
      <xdr:nvSpPr>
        <xdr:cNvPr id="3" name="Rektangel: afrundede hjørner 2">
          <a:hlinkClick xmlns:r="http://schemas.openxmlformats.org/officeDocument/2006/relationships" r:id="rId1"/>
          <a:extLst>
            <a:ext uri="{FF2B5EF4-FFF2-40B4-BE49-F238E27FC236}">
              <a16:creationId xmlns:a16="http://schemas.microsoft.com/office/drawing/2014/main" id="{23B4E1CB-84CA-4517-AA2C-DC3AAAF73B79}"/>
            </a:ext>
          </a:extLst>
        </xdr:cNvPr>
        <xdr:cNvSpPr/>
      </xdr:nvSpPr>
      <xdr:spPr>
        <a:xfrm>
          <a:off x="1812890" y="1700684"/>
          <a:ext cx="683561" cy="212911"/>
        </a:xfrm>
        <a:prstGeom prst="roundRect">
          <a:avLst/>
        </a:prstGeom>
        <a:solidFill>
          <a:srgbClr val="FAB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000" kern="1200">
              <a:solidFill>
                <a:schemeClr val="tx1"/>
              </a:solidFill>
            </a:rPr>
            <a:t>Add new</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33</xdr:col>
      <xdr:colOff>265776</xdr:colOff>
      <xdr:row>1</xdr:row>
      <xdr:rowOff>38100</xdr:rowOff>
    </xdr:from>
    <xdr:ext cx="1705899" cy="1006258"/>
    <xdr:pic>
      <xdr:nvPicPr>
        <xdr:cNvPr id="4" name="Picture 3" descr="4,700+ Money Emoji Stock Illustrations, Royalty-Free Vector Graphics &amp; Clip  Art - iStock | Money emoji wings, Money emoji vector, Flying money emoji">
          <a:extLst>
            <a:ext uri="{FF2B5EF4-FFF2-40B4-BE49-F238E27FC236}">
              <a16:creationId xmlns:a16="http://schemas.microsoft.com/office/drawing/2014/main" id="{D4019556-EC13-468B-B1CC-D6B2B03FE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47</xdr:col>
      <xdr:colOff>265776</xdr:colOff>
      <xdr:row>1</xdr:row>
      <xdr:rowOff>38100</xdr:rowOff>
    </xdr:from>
    <xdr:ext cx="1705899" cy="1006258"/>
    <xdr:pic>
      <xdr:nvPicPr>
        <xdr:cNvPr id="5" name="Picture 4" descr="4,700+ Money Emoji Stock Illustrations, Royalty-Free Vector Graphics &amp; Clip  Art - iStock | Money emoji wings, Money emoji vector, Flying money emoji">
          <a:extLst>
            <a:ext uri="{FF2B5EF4-FFF2-40B4-BE49-F238E27FC236}">
              <a16:creationId xmlns:a16="http://schemas.microsoft.com/office/drawing/2014/main" id="{9AED9FF1-17B2-4F87-ADD6-17A91B6648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61</xdr:col>
      <xdr:colOff>265776</xdr:colOff>
      <xdr:row>1</xdr:row>
      <xdr:rowOff>38100</xdr:rowOff>
    </xdr:from>
    <xdr:ext cx="1705899" cy="1006258"/>
    <xdr:pic>
      <xdr:nvPicPr>
        <xdr:cNvPr id="6" name="Picture 5" descr="4,700+ Money Emoji Stock Illustrations, Royalty-Free Vector Graphics &amp; Clip  Art - iStock | Money emoji wings, Money emoji vector, Flying money emoji">
          <a:extLst>
            <a:ext uri="{FF2B5EF4-FFF2-40B4-BE49-F238E27FC236}">
              <a16:creationId xmlns:a16="http://schemas.microsoft.com/office/drawing/2014/main" id="{5D38F400-8DE9-47BE-BDAF-027076AD7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75</xdr:col>
      <xdr:colOff>265776</xdr:colOff>
      <xdr:row>1</xdr:row>
      <xdr:rowOff>38100</xdr:rowOff>
    </xdr:from>
    <xdr:ext cx="1705899" cy="1006258"/>
    <xdr:pic>
      <xdr:nvPicPr>
        <xdr:cNvPr id="7" name="Picture 6" descr="4,700+ Money Emoji Stock Illustrations, Royalty-Free Vector Graphics &amp; Clip  Art - iStock | Money emoji wings, Money emoji vector, Flying money emoji">
          <a:extLst>
            <a:ext uri="{FF2B5EF4-FFF2-40B4-BE49-F238E27FC236}">
              <a16:creationId xmlns:a16="http://schemas.microsoft.com/office/drawing/2014/main" id="{125DF6AC-85FF-41DB-9D17-BA4012287A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7426" y="219075"/>
          <a:ext cx="1705899" cy="10062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ni.au.dk\dfs\Nat-Tech_Adm_Finance\Ans&#248;gninger\2022\Ans&#248;gningsskema%20Dansk_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mentation"/>
      <sheetName val="Takstblad"/>
      <sheetName val="Lister"/>
      <sheetName val="Overblik til IL"/>
      <sheetName val="Vejledning"/>
      <sheetName val="Forside ANIS"/>
      <sheetName val="Delt. 1 Ekstern"/>
      <sheetName val="Delt. 1 Medf."/>
      <sheetName val="Delt. 2 Ekstern"/>
      <sheetName val="Delt. 2 Medf."/>
      <sheetName val="Delt. 3 Ekstern"/>
      <sheetName val="Delt. 3 Medf."/>
      <sheetName val="Delt. 4 Ekstern"/>
      <sheetName val="Delt. 4 Medf."/>
      <sheetName val="Delt. 5 Ekstern"/>
      <sheetName val="Delt. 5 Medf."/>
      <sheetName val="Ekstern+medf. i alt"/>
      <sheetName val="Ekstern i alt"/>
      <sheetName val="Medf. i alt"/>
      <sheetName val="GUDP"/>
      <sheetName val="Fondsprojekter"/>
    </sheetNames>
    <sheetDataSet>
      <sheetData sheetId="0"/>
      <sheetData sheetId="1">
        <row r="2">
          <cell r="C2" t="str">
            <v>MÅNEDSLØN</v>
          </cell>
          <cell r="L2" t="str">
            <v>KOSTPRIS</v>
          </cell>
        </row>
        <row r="3">
          <cell r="A3" t="str">
            <v>Kategori</v>
          </cell>
          <cell r="C3">
            <v>2022</v>
          </cell>
          <cell r="D3">
            <v>2023</v>
          </cell>
          <cell r="E3">
            <v>2024</v>
          </cell>
          <cell r="F3">
            <v>2025</v>
          </cell>
          <cell r="G3">
            <v>2026</v>
          </cell>
          <cell r="H3">
            <v>2027</v>
          </cell>
          <cell r="I3">
            <v>2028</v>
          </cell>
          <cell r="J3">
            <v>2029</v>
          </cell>
          <cell r="L3">
            <v>2022</v>
          </cell>
          <cell r="M3">
            <v>2023</v>
          </cell>
          <cell r="N3">
            <v>2024</v>
          </cell>
          <cell r="O3">
            <v>2025</v>
          </cell>
          <cell r="P3">
            <v>2026</v>
          </cell>
          <cell r="Q3">
            <v>2027</v>
          </cell>
          <cell r="R3">
            <v>2028</v>
          </cell>
        </row>
        <row r="4">
          <cell r="A4" t="str">
            <v>VIP</v>
          </cell>
          <cell r="B4" t="str">
            <v xml:space="preserve"> </v>
          </cell>
        </row>
        <row r="5">
          <cell r="A5" t="str">
            <v>"Vælg stillingskategori"</v>
          </cell>
          <cell r="B5" t="str">
            <v/>
          </cell>
        </row>
        <row r="6">
          <cell r="A6" t="str">
            <v>Institutleder/Forskningschef</v>
          </cell>
          <cell r="B6" t="str">
            <v/>
          </cell>
          <cell r="C6">
            <v>95500</v>
          </cell>
          <cell r="D6">
            <v>97900</v>
          </cell>
          <cell r="E6">
            <v>100400</v>
          </cell>
          <cell r="F6">
            <v>103000</v>
          </cell>
          <cell r="G6">
            <v>105600</v>
          </cell>
          <cell r="H6">
            <v>108300</v>
          </cell>
          <cell r="I6">
            <v>111100</v>
          </cell>
          <cell r="J6">
            <v>113900</v>
          </cell>
          <cell r="L6">
            <v>784.93150684931504</v>
          </cell>
          <cell r="M6">
            <v>804.65753424657532</v>
          </cell>
          <cell r="N6">
            <v>825.20547945205476</v>
          </cell>
          <cell r="O6">
            <v>846.57534246575335</v>
          </cell>
          <cell r="P6">
            <v>867.94520547945206</v>
          </cell>
          <cell r="Q6">
            <v>890.1369863013698</v>
          </cell>
          <cell r="R6">
            <v>913.15068493150682</v>
          </cell>
        </row>
        <row r="7">
          <cell r="A7" t="str">
            <v>Forskningsleder/Professor</v>
          </cell>
          <cell r="B7" t="str">
            <v/>
          </cell>
          <cell r="C7">
            <v>74800</v>
          </cell>
          <cell r="D7">
            <v>76700</v>
          </cell>
          <cell r="E7">
            <v>78700</v>
          </cell>
          <cell r="F7">
            <v>80700</v>
          </cell>
          <cell r="G7">
            <v>82800</v>
          </cell>
          <cell r="H7">
            <v>84900</v>
          </cell>
          <cell r="I7">
            <v>87100</v>
          </cell>
          <cell r="J7">
            <v>89300</v>
          </cell>
          <cell r="L7">
            <v>614.79452054794513</v>
          </cell>
          <cell r="M7">
            <v>630.41095890410952</v>
          </cell>
          <cell r="N7">
            <v>646.84931506849307</v>
          </cell>
          <cell r="O7">
            <v>663.28767123287673</v>
          </cell>
          <cell r="P7">
            <v>680.54794520547944</v>
          </cell>
          <cell r="Q7">
            <v>697.80821917808214</v>
          </cell>
          <cell r="R7">
            <v>715.89041095890411</v>
          </cell>
        </row>
        <row r="8">
          <cell r="A8" t="str">
            <v>Seniorforsker/Lektor - høj sats</v>
          </cell>
          <cell r="B8" t="str">
            <v/>
          </cell>
          <cell r="C8">
            <v>68700</v>
          </cell>
          <cell r="D8">
            <v>70500</v>
          </cell>
          <cell r="E8">
            <v>72300</v>
          </cell>
          <cell r="F8">
            <v>74200</v>
          </cell>
          <cell r="G8">
            <v>76100</v>
          </cell>
          <cell r="H8">
            <v>78100</v>
          </cell>
          <cell r="I8">
            <v>80100</v>
          </cell>
          <cell r="J8">
            <v>82200</v>
          </cell>
          <cell r="L8">
            <v>564.65753424657532</v>
          </cell>
          <cell r="M8">
            <v>579.45205479452056</v>
          </cell>
          <cell r="N8">
            <v>594.24657534246569</v>
          </cell>
          <cell r="O8">
            <v>609.86301369863008</v>
          </cell>
          <cell r="P8">
            <v>625.47945205479448</v>
          </cell>
          <cell r="Q8">
            <v>641.91780821917803</v>
          </cell>
          <cell r="R8">
            <v>658.35616438356158</v>
          </cell>
        </row>
        <row r="9">
          <cell r="A9" t="str">
            <v>Seniorforsker/Lektor - gns sats</v>
          </cell>
          <cell r="B9" t="str">
            <v/>
          </cell>
          <cell r="C9">
            <v>64100</v>
          </cell>
          <cell r="D9">
            <v>65800</v>
          </cell>
          <cell r="E9">
            <v>67500</v>
          </cell>
          <cell r="F9">
            <v>69200</v>
          </cell>
          <cell r="G9">
            <v>71000</v>
          </cell>
          <cell r="H9">
            <v>72800</v>
          </cell>
          <cell r="I9">
            <v>74700</v>
          </cell>
          <cell r="J9">
            <v>76600</v>
          </cell>
          <cell r="L9">
            <v>526.84931506849318</v>
          </cell>
          <cell r="M9">
            <v>540.82191780821915</v>
          </cell>
          <cell r="N9">
            <v>554.79452054794524</v>
          </cell>
          <cell r="O9">
            <v>568.76712328767121</v>
          </cell>
          <cell r="P9">
            <v>583.56164383561645</v>
          </cell>
          <cell r="Q9">
            <v>598.35616438356158</v>
          </cell>
          <cell r="R9">
            <v>613.97260273972597</v>
          </cell>
        </row>
        <row r="10">
          <cell r="A10" t="str">
            <v>Adjunkt</v>
          </cell>
          <cell r="B10" t="str">
            <v/>
          </cell>
          <cell r="C10">
            <v>48700</v>
          </cell>
          <cell r="D10">
            <v>50000</v>
          </cell>
          <cell r="E10">
            <v>51300</v>
          </cell>
          <cell r="F10">
            <v>52600</v>
          </cell>
          <cell r="G10">
            <v>54000</v>
          </cell>
          <cell r="H10">
            <v>55400</v>
          </cell>
          <cell r="I10">
            <v>56800</v>
          </cell>
          <cell r="J10">
            <v>58300</v>
          </cell>
          <cell r="L10">
            <v>400.27397260273972</v>
          </cell>
          <cell r="M10">
            <v>410.95890410958901</v>
          </cell>
          <cell r="N10">
            <v>421.64383561643837</v>
          </cell>
          <cell r="O10">
            <v>432.32876712328766</v>
          </cell>
          <cell r="P10">
            <v>443.83561643835617</v>
          </cell>
          <cell r="Q10">
            <v>455.34246575342462</v>
          </cell>
          <cell r="R10">
            <v>466.84931506849313</v>
          </cell>
        </row>
        <row r="11">
          <cell r="A11" t="str">
            <v>Tenure Track</v>
          </cell>
          <cell r="B11" t="str">
            <v/>
          </cell>
          <cell r="C11">
            <v>50900</v>
          </cell>
          <cell r="D11">
            <v>52200</v>
          </cell>
          <cell r="E11">
            <v>53600</v>
          </cell>
          <cell r="F11">
            <v>55000</v>
          </cell>
          <cell r="G11">
            <v>56400</v>
          </cell>
          <cell r="H11">
            <v>57900</v>
          </cell>
          <cell r="I11">
            <v>59400</v>
          </cell>
          <cell r="J11">
            <v>60900</v>
          </cell>
          <cell r="L11">
            <v>418.35616438356163</v>
          </cell>
          <cell r="M11">
            <v>429.04109589041093</v>
          </cell>
          <cell r="N11">
            <v>440.54794520547944</v>
          </cell>
          <cell r="O11">
            <v>452.05479452054794</v>
          </cell>
          <cell r="P11">
            <v>463.56164383561639</v>
          </cell>
          <cell r="Q11">
            <v>475.89041095890411</v>
          </cell>
          <cell r="R11">
            <v>488.21917808219177</v>
          </cell>
        </row>
        <row r="12">
          <cell r="A12" t="str">
            <v>Forsker</v>
          </cell>
          <cell r="B12" t="str">
            <v/>
          </cell>
          <cell r="C12">
            <v>49900</v>
          </cell>
          <cell r="D12">
            <v>51200</v>
          </cell>
          <cell r="E12">
            <v>52500</v>
          </cell>
          <cell r="F12">
            <v>53900</v>
          </cell>
          <cell r="G12">
            <v>55300</v>
          </cell>
          <cell r="H12">
            <v>56700</v>
          </cell>
          <cell r="I12">
            <v>58200</v>
          </cell>
          <cell r="J12">
            <v>59700</v>
          </cell>
          <cell r="L12">
            <v>410.13698630136986</v>
          </cell>
          <cell r="M12">
            <v>420.82191780821915</v>
          </cell>
          <cell r="N12">
            <v>431.50684931506845</v>
          </cell>
          <cell r="O12">
            <v>443.01369863013696</v>
          </cell>
          <cell r="P12">
            <v>454.52054794520546</v>
          </cell>
          <cell r="Q12">
            <v>466.02739726027397</v>
          </cell>
          <cell r="R12">
            <v>478.35616438356163</v>
          </cell>
        </row>
        <row r="13">
          <cell r="A13" t="str">
            <v>Postdoc</v>
          </cell>
          <cell r="B13" t="str">
            <v/>
          </cell>
          <cell r="C13">
            <v>46200</v>
          </cell>
          <cell r="D13">
            <v>47400</v>
          </cell>
          <cell r="E13">
            <v>48600</v>
          </cell>
          <cell r="F13">
            <v>49900</v>
          </cell>
          <cell r="G13">
            <v>51200</v>
          </cell>
          <cell r="H13">
            <v>52500</v>
          </cell>
          <cell r="I13">
            <v>53900</v>
          </cell>
          <cell r="J13">
            <v>55300</v>
          </cell>
          <cell r="L13">
            <v>379.72602739726028</v>
          </cell>
          <cell r="M13">
            <v>389.58904109589042</v>
          </cell>
          <cell r="N13">
            <v>399.45205479452051</v>
          </cell>
          <cell r="O13">
            <v>410.13698630136986</v>
          </cell>
          <cell r="P13">
            <v>420.82191780821915</v>
          </cell>
          <cell r="Q13">
            <v>431.50684931506845</v>
          </cell>
          <cell r="R13">
            <v>443.01369863013696</v>
          </cell>
        </row>
        <row r="14">
          <cell r="A14" t="str">
            <v>Videnskabelig assistent</v>
          </cell>
          <cell r="B14" t="str">
            <v/>
          </cell>
          <cell r="C14">
            <v>39500</v>
          </cell>
          <cell r="D14">
            <v>40500</v>
          </cell>
          <cell r="E14">
            <v>41600</v>
          </cell>
          <cell r="F14">
            <v>42700</v>
          </cell>
          <cell r="G14">
            <v>43800</v>
          </cell>
          <cell r="H14">
            <v>44900</v>
          </cell>
          <cell r="I14">
            <v>46100</v>
          </cell>
          <cell r="J14">
            <v>47300</v>
          </cell>
          <cell r="L14">
            <v>324.65753424657532</v>
          </cell>
          <cell r="M14">
            <v>332.8767123287671</v>
          </cell>
          <cell r="N14">
            <v>341.91780821917808</v>
          </cell>
          <cell r="O14">
            <v>350.95890410958901</v>
          </cell>
          <cell r="P14">
            <v>360</v>
          </cell>
          <cell r="Q14">
            <v>369.04109589041093</v>
          </cell>
          <cell r="R14">
            <v>378.90410958904107</v>
          </cell>
        </row>
        <row r="15">
          <cell r="A15" t="str">
            <v>PhD</v>
          </cell>
          <cell r="B15" t="str">
            <v>PhD</v>
          </cell>
          <cell r="C15">
            <v>36900</v>
          </cell>
          <cell r="D15">
            <v>37900</v>
          </cell>
          <cell r="E15">
            <v>38900</v>
          </cell>
          <cell r="F15">
            <v>39900</v>
          </cell>
          <cell r="G15">
            <v>40900</v>
          </cell>
          <cell r="H15">
            <v>42000</v>
          </cell>
          <cell r="I15">
            <v>43100</v>
          </cell>
          <cell r="J15">
            <v>44200</v>
          </cell>
          <cell r="L15">
            <v>303.28767123287668</v>
          </cell>
          <cell r="M15">
            <v>311.50684931506851</v>
          </cell>
          <cell r="N15">
            <v>319.72602739726028</v>
          </cell>
          <cell r="O15">
            <v>327.94520547945206</v>
          </cell>
          <cell r="P15">
            <v>336.16438356164383</v>
          </cell>
          <cell r="Q15">
            <v>345.20547945205476</v>
          </cell>
          <cell r="R15">
            <v>354.24657534246575</v>
          </cell>
        </row>
        <row r="16">
          <cell r="B16" t="str">
            <v/>
          </cell>
          <cell r="D16">
            <v>0</v>
          </cell>
          <cell r="E16">
            <v>0</v>
          </cell>
          <cell r="F16">
            <v>0</v>
          </cell>
          <cell r="G16">
            <v>0</v>
          </cell>
          <cell r="H16">
            <v>0</v>
          </cell>
          <cell r="I16">
            <v>0</v>
          </cell>
          <cell r="J16">
            <v>0</v>
          </cell>
          <cell r="L16">
            <v>0</v>
          </cell>
          <cell r="M16">
            <v>0</v>
          </cell>
          <cell r="N16">
            <v>0</v>
          </cell>
          <cell r="O16">
            <v>0</v>
          </cell>
          <cell r="P16">
            <v>0</v>
          </cell>
          <cell r="Q16">
            <v>0</v>
          </cell>
          <cell r="R16">
            <v>0</v>
          </cell>
        </row>
        <row r="17">
          <cell r="B17" t="str">
            <v/>
          </cell>
          <cell r="D17">
            <v>0</v>
          </cell>
          <cell r="E17">
            <v>0</v>
          </cell>
          <cell r="F17">
            <v>0</v>
          </cell>
          <cell r="G17">
            <v>0</v>
          </cell>
          <cell r="H17">
            <v>0</v>
          </cell>
          <cell r="I17">
            <v>0</v>
          </cell>
          <cell r="J17">
            <v>0</v>
          </cell>
          <cell r="L17">
            <v>0</v>
          </cell>
          <cell r="M17">
            <v>0</v>
          </cell>
          <cell r="N17">
            <v>0</v>
          </cell>
          <cell r="O17">
            <v>0</v>
          </cell>
          <cell r="P17">
            <v>0</v>
          </cell>
          <cell r="Q17">
            <v>0</v>
          </cell>
          <cell r="R17">
            <v>0</v>
          </cell>
        </row>
        <row r="18">
          <cell r="B18" t="str">
            <v/>
          </cell>
          <cell r="D18">
            <v>0</v>
          </cell>
          <cell r="E18">
            <v>0</v>
          </cell>
          <cell r="F18">
            <v>0</v>
          </cell>
          <cell r="G18">
            <v>0</v>
          </cell>
          <cell r="H18">
            <v>0</v>
          </cell>
          <cell r="I18">
            <v>0</v>
          </cell>
          <cell r="J18">
            <v>0</v>
          </cell>
          <cell r="L18">
            <v>0</v>
          </cell>
          <cell r="M18">
            <v>0</v>
          </cell>
          <cell r="N18">
            <v>0</v>
          </cell>
          <cell r="O18">
            <v>0</v>
          </cell>
          <cell r="P18">
            <v>0</v>
          </cell>
          <cell r="Q18">
            <v>0</v>
          </cell>
          <cell r="R18">
            <v>0</v>
          </cell>
        </row>
        <row r="19">
          <cell r="B19" t="str">
            <v/>
          </cell>
          <cell r="D19">
            <v>0</v>
          </cell>
          <cell r="E19">
            <v>0</v>
          </cell>
          <cell r="F19">
            <v>0</v>
          </cell>
          <cell r="G19">
            <v>0</v>
          </cell>
          <cell r="H19">
            <v>0</v>
          </cell>
          <cell r="I19">
            <v>0</v>
          </cell>
          <cell r="J19">
            <v>0</v>
          </cell>
          <cell r="L19">
            <v>0</v>
          </cell>
          <cell r="M19">
            <v>0</v>
          </cell>
          <cell r="N19">
            <v>0</v>
          </cell>
          <cell r="O19">
            <v>0</v>
          </cell>
          <cell r="P19">
            <v>0</v>
          </cell>
          <cell r="Q19">
            <v>0</v>
          </cell>
          <cell r="R19">
            <v>0</v>
          </cell>
        </row>
        <row r="20">
          <cell r="B20" t="str">
            <v/>
          </cell>
          <cell r="D20">
            <v>0</v>
          </cell>
          <cell r="E20">
            <v>0</v>
          </cell>
          <cell r="F20">
            <v>0</v>
          </cell>
          <cell r="G20">
            <v>0</v>
          </cell>
          <cell r="H20">
            <v>0</v>
          </cell>
          <cell r="I20">
            <v>0</v>
          </cell>
          <cell r="J20">
            <v>0</v>
          </cell>
          <cell r="L20">
            <v>0</v>
          </cell>
          <cell r="M20">
            <v>0</v>
          </cell>
          <cell r="N20">
            <v>0</v>
          </cell>
          <cell r="O20">
            <v>0</v>
          </cell>
          <cell r="P20">
            <v>0</v>
          </cell>
          <cell r="Q20">
            <v>0</v>
          </cell>
          <cell r="R20">
            <v>0</v>
          </cell>
        </row>
        <row r="21">
          <cell r="B21" t="str">
            <v/>
          </cell>
          <cell r="D21">
            <v>0</v>
          </cell>
          <cell r="E21">
            <v>0</v>
          </cell>
          <cell r="F21">
            <v>0</v>
          </cell>
          <cell r="G21">
            <v>0</v>
          </cell>
          <cell r="H21">
            <v>0</v>
          </cell>
          <cell r="I21">
            <v>0</v>
          </cell>
          <cell r="J21">
            <v>0</v>
          </cell>
          <cell r="L21">
            <v>0</v>
          </cell>
          <cell r="M21">
            <v>0</v>
          </cell>
          <cell r="N21">
            <v>0</v>
          </cell>
          <cell r="O21">
            <v>0</v>
          </cell>
          <cell r="P21">
            <v>0</v>
          </cell>
          <cell r="Q21">
            <v>0</v>
          </cell>
          <cell r="R21">
            <v>0</v>
          </cell>
        </row>
        <row r="22">
          <cell r="B22" t="str">
            <v/>
          </cell>
          <cell r="D22">
            <v>0</v>
          </cell>
          <cell r="E22">
            <v>0</v>
          </cell>
          <cell r="F22">
            <v>0</v>
          </cell>
          <cell r="G22">
            <v>0</v>
          </cell>
          <cell r="H22">
            <v>0</v>
          </cell>
          <cell r="I22">
            <v>0</v>
          </cell>
          <cell r="J22">
            <v>0</v>
          </cell>
          <cell r="L22">
            <v>0</v>
          </cell>
          <cell r="M22">
            <v>0</v>
          </cell>
          <cell r="N22">
            <v>0</v>
          </cell>
          <cell r="O22">
            <v>0</v>
          </cell>
          <cell r="P22">
            <v>0</v>
          </cell>
          <cell r="Q22">
            <v>0</v>
          </cell>
          <cell r="R22">
            <v>0</v>
          </cell>
        </row>
        <row r="23">
          <cell r="B23" t="str">
            <v/>
          </cell>
          <cell r="D23">
            <v>0</v>
          </cell>
          <cell r="E23">
            <v>0</v>
          </cell>
          <cell r="F23">
            <v>0</v>
          </cell>
          <cell r="G23">
            <v>0</v>
          </cell>
          <cell r="H23">
            <v>0</v>
          </cell>
          <cell r="I23">
            <v>0</v>
          </cell>
          <cell r="J23">
            <v>0</v>
          </cell>
          <cell r="L23">
            <v>0</v>
          </cell>
          <cell r="M23">
            <v>0</v>
          </cell>
          <cell r="N23">
            <v>0</v>
          </cell>
          <cell r="O23">
            <v>0</v>
          </cell>
          <cell r="P23">
            <v>0</v>
          </cell>
          <cell r="Q23">
            <v>0</v>
          </cell>
          <cell r="R23">
            <v>0</v>
          </cell>
        </row>
        <row r="24">
          <cell r="B24" t="str">
            <v/>
          </cell>
          <cell r="D24">
            <v>0</v>
          </cell>
          <cell r="E24">
            <v>0</v>
          </cell>
          <cell r="F24">
            <v>0</v>
          </cell>
          <cell r="G24">
            <v>0</v>
          </cell>
          <cell r="H24">
            <v>0</v>
          </cell>
          <cell r="I24">
            <v>0</v>
          </cell>
          <cell r="J24">
            <v>0</v>
          </cell>
          <cell r="L24">
            <v>0</v>
          </cell>
          <cell r="M24">
            <v>0</v>
          </cell>
          <cell r="N24">
            <v>0</v>
          </cell>
          <cell r="O24">
            <v>0</v>
          </cell>
          <cell r="P24">
            <v>0</v>
          </cell>
          <cell r="Q24">
            <v>0</v>
          </cell>
          <cell r="R24">
            <v>0</v>
          </cell>
        </row>
        <row r="25">
          <cell r="B25" t="str">
            <v/>
          </cell>
          <cell r="D25">
            <v>0</v>
          </cell>
          <cell r="E25">
            <v>0</v>
          </cell>
          <cell r="F25">
            <v>0</v>
          </cell>
          <cell r="G25">
            <v>0</v>
          </cell>
          <cell r="H25">
            <v>0</v>
          </cell>
          <cell r="I25">
            <v>0</v>
          </cell>
          <cell r="J25">
            <v>0</v>
          </cell>
          <cell r="L25">
            <v>0</v>
          </cell>
          <cell r="M25">
            <v>0</v>
          </cell>
          <cell r="N25">
            <v>0</v>
          </cell>
          <cell r="O25">
            <v>0</v>
          </cell>
          <cell r="P25">
            <v>0</v>
          </cell>
          <cell r="Q25">
            <v>0</v>
          </cell>
          <cell r="R25">
            <v>0</v>
          </cell>
        </row>
        <row r="27">
          <cell r="A27" t="str">
            <v>TAP</v>
          </cell>
          <cell r="B27" t="str">
            <v xml:space="preserve"> </v>
          </cell>
        </row>
        <row r="28">
          <cell r="A28" t="str">
            <v>"Vælg stillingskategori"</v>
          </cell>
        </row>
        <row r="29">
          <cell r="A29" t="str">
            <v>Studentermedhjælp</v>
          </cell>
          <cell r="B29" t="str">
            <v/>
          </cell>
          <cell r="C29">
            <v>20500</v>
          </cell>
          <cell r="D29">
            <v>21100</v>
          </cell>
          <cell r="E29">
            <v>21700</v>
          </cell>
          <cell r="F29">
            <v>22300</v>
          </cell>
          <cell r="G29">
            <v>22900</v>
          </cell>
          <cell r="H29">
            <v>23500</v>
          </cell>
          <cell r="I29">
            <v>24100</v>
          </cell>
          <cell r="J29">
            <v>24800</v>
          </cell>
          <cell r="L29">
            <v>168.49315068493149</v>
          </cell>
          <cell r="M29">
            <v>173.42465753424656</v>
          </cell>
          <cell r="N29">
            <v>178.35616438356163</v>
          </cell>
          <cell r="O29">
            <v>183.2876712328767</v>
          </cell>
          <cell r="P29">
            <v>188.21917808219177</v>
          </cell>
          <cell r="Q29">
            <v>193.15068493150685</v>
          </cell>
          <cell r="R29">
            <v>198.08219178082192</v>
          </cell>
        </row>
        <row r="30">
          <cell r="A30" t="str">
            <v>TAP/Øvrig kandidatuddannede</v>
          </cell>
          <cell r="B30" t="str">
            <v>TAP/Øvrig kandidatuddannede</v>
          </cell>
          <cell r="C30">
            <v>50200</v>
          </cell>
          <cell r="D30">
            <v>51500</v>
          </cell>
          <cell r="E30">
            <v>52800</v>
          </cell>
          <cell r="F30">
            <v>54200</v>
          </cell>
          <cell r="G30">
            <v>55600</v>
          </cell>
          <cell r="H30">
            <v>57000</v>
          </cell>
          <cell r="I30">
            <v>58500</v>
          </cell>
          <cell r="J30">
            <v>60000</v>
          </cell>
          <cell r="L30">
            <v>412.60273972602738</v>
          </cell>
          <cell r="M30">
            <v>423.28767123287668</v>
          </cell>
          <cell r="N30">
            <v>433.97260273972603</v>
          </cell>
          <cell r="O30">
            <v>445.47945205479448</v>
          </cell>
          <cell r="P30">
            <v>456.98630136986299</v>
          </cell>
          <cell r="Q30">
            <v>468.49315068493149</v>
          </cell>
          <cell r="R30">
            <v>480.82191780821915</v>
          </cell>
        </row>
        <row r="31">
          <cell r="A31" t="str">
            <v>Data/IT medarbejder</v>
          </cell>
          <cell r="B31" t="str">
            <v/>
          </cell>
          <cell r="C31">
            <v>48700</v>
          </cell>
          <cell r="D31">
            <v>50000</v>
          </cell>
          <cell r="E31">
            <v>51300</v>
          </cell>
          <cell r="F31">
            <v>52600</v>
          </cell>
          <cell r="G31">
            <v>54000</v>
          </cell>
          <cell r="H31">
            <v>55400</v>
          </cell>
          <cell r="I31">
            <v>56800</v>
          </cell>
          <cell r="J31">
            <v>58300</v>
          </cell>
          <cell r="L31">
            <v>400.27397260273972</v>
          </cell>
          <cell r="M31">
            <v>410.95890410958901</v>
          </cell>
          <cell r="N31">
            <v>421.64383561643837</v>
          </cell>
          <cell r="O31">
            <v>432.32876712328766</v>
          </cell>
          <cell r="P31">
            <v>443.83561643835617</v>
          </cell>
          <cell r="Q31">
            <v>455.34246575342462</v>
          </cell>
          <cell r="R31">
            <v>466.84931506849313</v>
          </cell>
        </row>
        <row r="32">
          <cell r="A32" t="str">
            <v>Laborant - høj sats</v>
          </cell>
          <cell r="B32" t="str">
            <v>Laborant</v>
          </cell>
          <cell r="C32">
            <v>40800</v>
          </cell>
          <cell r="D32">
            <v>41900</v>
          </cell>
          <cell r="E32">
            <v>43000</v>
          </cell>
          <cell r="F32">
            <v>44100</v>
          </cell>
          <cell r="G32">
            <v>45300</v>
          </cell>
          <cell r="H32">
            <v>46500</v>
          </cell>
          <cell r="I32">
            <v>47700</v>
          </cell>
          <cell r="J32">
            <v>48900</v>
          </cell>
          <cell r="L32">
            <v>335.34246575342462</v>
          </cell>
          <cell r="M32">
            <v>344.38356164383561</v>
          </cell>
          <cell r="N32">
            <v>353.42465753424653</v>
          </cell>
          <cell r="O32">
            <v>362.46575342465752</v>
          </cell>
          <cell r="P32">
            <v>372.32876712328766</v>
          </cell>
          <cell r="Q32">
            <v>382.1917808219178</v>
          </cell>
          <cell r="R32">
            <v>392.05479452054794</v>
          </cell>
        </row>
        <row r="33">
          <cell r="A33" t="str">
            <v>Laborant - gennemsnitssats</v>
          </cell>
          <cell r="B33" t="str">
            <v>Laborant</v>
          </cell>
          <cell r="C33">
            <v>38300</v>
          </cell>
          <cell r="D33">
            <v>39300</v>
          </cell>
          <cell r="E33">
            <v>40300</v>
          </cell>
          <cell r="F33">
            <v>41400</v>
          </cell>
          <cell r="G33">
            <v>42500</v>
          </cell>
          <cell r="H33">
            <v>43600</v>
          </cell>
          <cell r="I33">
            <v>44700</v>
          </cell>
          <cell r="J33">
            <v>45900</v>
          </cell>
          <cell r="L33">
            <v>314.79452054794518</v>
          </cell>
          <cell r="M33">
            <v>323.01369863013696</v>
          </cell>
          <cell r="N33">
            <v>331.23287671232873</v>
          </cell>
          <cell r="O33">
            <v>340.27397260273972</v>
          </cell>
          <cell r="P33">
            <v>349.31506849315065</v>
          </cell>
          <cell r="Q33">
            <v>358.35616438356163</v>
          </cell>
          <cell r="R33">
            <v>367.39726027397256</v>
          </cell>
        </row>
        <row r="34">
          <cell r="A34" t="str">
            <v>Tekniker - høj sats</v>
          </cell>
          <cell r="B34" t="str">
            <v>Tekniker</v>
          </cell>
          <cell r="C34">
            <v>44000</v>
          </cell>
          <cell r="D34">
            <v>45100</v>
          </cell>
          <cell r="E34">
            <v>46300</v>
          </cell>
          <cell r="F34">
            <v>47500</v>
          </cell>
          <cell r="G34">
            <v>48700</v>
          </cell>
          <cell r="H34">
            <v>50000</v>
          </cell>
          <cell r="I34">
            <v>51300</v>
          </cell>
          <cell r="J34">
            <v>52600</v>
          </cell>
          <cell r="L34">
            <v>361.64383561643837</v>
          </cell>
          <cell r="M34">
            <v>370.6849315068493</v>
          </cell>
          <cell r="N34">
            <v>380.54794520547944</v>
          </cell>
          <cell r="O34">
            <v>390.41095890410958</v>
          </cell>
          <cell r="P34">
            <v>400.27397260273972</v>
          </cell>
          <cell r="Q34">
            <v>410.95890410958901</v>
          </cell>
          <cell r="R34">
            <v>421.64383561643837</v>
          </cell>
        </row>
        <row r="35">
          <cell r="A35" t="str">
            <v>Tekniker - gennemsnitssats</v>
          </cell>
          <cell r="B35" t="str">
            <v>Tekniker</v>
          </cell>
          <cell r="C35">
            <v>41600</v>
          </cell>
          <cell r="D35">
            <v>42700</v>
          </cell>
          <cell r="E35">
            <v>43800</v>
          </cell>
          <cell r="F35">
            <v>44900</v>
          </cell>
          <cell r="G35">
            <v>46100</v>
          </cell>
          <cell r="H35">
            <v>47300</v>
          </cell>
          <cell r="I35">
            <v>48500</v>
          </cell>
          <cell r="J35">
            <v>49800</v>
          </cell>
          <cell r="L35">
            <v>341.91780821917808</v>
          </cell>
          <cell r="M35">
            <v>350.95890410958901</v>
          </cell>
          <cell r="N35">
            <v>360</v>
          </cell>
          <cell r="O35">
            <v>369.04109589041093</v>
          </cell>
          <cell r="P35">
            <v>378.90410958904107</v>
          </cell>
          <cell r="Q35">
            <v>388.76712328767121</v>
          </cell>
          <cell r="R35">
            <v>398.63013698630135</v>
          </cell>
        </row>
        <row r="36">
          <cell r="A36" t="str">
            <v>Anden TAP - gennemsnitssats</v>
          </cell>
          <cell r="B36" t="str">
            <v/>
          </cell>
          <cell r="C36">
            <v>41400</v>
          </cell>
          <cell r="D36">
            <v>42500</v>
          </cell>
          <cell r="E36">
            <v>43600</v>
          </cell>
          <cell r="F36">
            <v>44700</v>
          </cell>
          <cell r="G36">
            <v>45900</v>
          </cell>
          <cell r="H36">
            <v>47100</v>
          </cell>
          <cell r="I36">
            <v>48300</v>
          </cell>
          <cell r="J36">
            <v>49600</v>
          </cell>
          <cell r="L36">
            <v>340.27397260273972</v>
          </cell>
          <cell r="M36">
            <v>349.31506849315065</v>
          </cell>
          <cell r="N36">
            <v>358.35616438356163</v>
          </cell>
          <cell r="O36">
            <v>367.39726027397256</v>
          </cell>
          <cell r="P36">
            <v>377.2602739726027</v>
          </cell>
          <cell r="Q36">
            <v>387.12328767123284</v>
          </cell>
          <cell r="R36">
            <v>396.98630136986299</v>
          </cell>
        </row>
        <row r="37">
          <cell r="B37" t="str">
            <v/>
          </cell>
          <cell r="D37">
            <v>0</v>
          </cell>
          <cell r="E37">
            <v>0</v>
          </cell>
          <cell r="F37">
            <v>0</v>
          </cell>
          <cell r="G37">
            <v>0</v>
          </cell>
          <cell r="H37">
            <v>0</v>
          </cell>
          <cell r="I37">
            <v>0</v>
          </cell>
          <cell r="J37">
            <v>0</v>
          </cell>
          <cell r="L37">
            <v>0</v>
          </cell>
          <cell r="M37">
            <v>0</v>
          </cell>
          <cell r="N37">
            <v>0</v>
          </cell>
          <cell r="O37">
            <v>0</v>
          </cell>
          <cell r="P37">
            <v>0</v>
          </cell>
          <cell r="Q37">
            <v>0</v>
          </cell>
          <cell r="R37">
            <v>0</v>
          </cell>
        </row>
        <row r="38">
          <cell r="B38" t="str">
            <v/>
          </cell>
          <cell r="D38">
            <v>0</v>
          </cell>
          <cell r="E38">
            <v>0</v>
          </cell>
          <cell r="F38">
            <v>0</v>
          </cell>
          <cell r="G38">
            <v>0</v>
          </cell>
          <cell r="H38">
            <v>0</v>
          </cell>
          <cell r="I38">
            <v>0</v>
          </cell>
          <cell r="J38">
            <v>0</v>
          </cell>
          <cell r="L38">
            <v>0</v>
          </cell>
          <cell r="M38">
            <v>0</v>
          </cell>
          <cell r="N38">
            <v>0</v>
          </cell>
          <cell r="O38">
            <v>0</v>
          </cell>
          <cell r="P38">
            <v>0</v>
          </cell>
          <cell r="Q38">
            <v>0</v>
          </cell>
          <cell r="R38">
            <v>0</v>
          </cell>
        </row>
        <row r="39">
          <cell r="B39" t="str">
            <v/>
          </cell>
          <cell r="D39">
            <v>0</v>
          </cell>
          <cell r="E39">
            <v>0</v>
          </cell>
          <cell r="F39">
            <v>0</v>
          </cell>
          <cell r="G39">
            <v>0</v>
          </cell>
          <cell r="H39">
            <v>0</v>
          </cell>
          <cell r="I39">
            <v>0</v>
          </cell>
          <cell r="J39">
            <v>0</v>
          </cell>
          <cell r="L39">
            <v>0</v>
          </cell>
          <cell r="M39">
            <v>0</v>
          </cell>
          <cell r="N39">
            <v>0</v>
          </cell>
          <cell r="O39">
            <v>0</v>
          </cell>
          <cell r="P39">
            <v>0</v>
          </cell>
          <cell r="Q39">
            <v>0</v>
          </cell>
          <cell r="R39">
            <v>0</v>
          </cell>
        </row>
        <row r="40">
          <cell r="B40" t="str">
            <v/>
          </cell>
          <cell r="D40">
            <v>0</v>
          </cell>
          <cell r="E40">
            <v>0</v>
          </cell>
          <cell r="F40">
            <v>0</v>
          </cell>
          <cell r="G40">
            <v>0</v>
          </cell>
          <cell r="H40">
            <v>0</v>
          </cell>
          <cell r="I40">
            <v>0</v>
          </cell>
          <cell r="J40">
            <v>0</v>
          </cell>
          <cell r="L40">
            <v>0</v>
          </cell>
          <cell r="M40">
            <v>0</v>
          </cell>
          <cell r="N40">
            <v>0</v>
          </cell>
          <cell r="O40">
            <v>0</v>
          </cell>
          <cell r="P40">
            <v>0</v>
          </cell>
          <cell r="Q40">
            <v>0</v>
          </cell>
          <cell r="R40">
            <v>0</v>
          </cell>
        </row>
        <row r="41">
          <cell r="B41" t="str">
            <v/>
          </cell>
          <cell r="D41">
            <v>0</v>
          </cell>
          <cell r="E41">
            <v>0</v>
          </cell>
          <cell r="F41">
            <v>0</v>
          </cell>
          <cell r="G41">
            <v>0</v>
          </cell>
          <cell r="H41">
            <v>0</v>
          </cell>
          <cell r="I41">
            <v>0</v>
          </cell>
          <cell r="J41">
            <v>0</v>
          </cell>
          <cell r="L41">
            <v>0</v>
          </cell>
          <cell r="M41">
            <v>0</v>
          </cell>
          <cell r="N41">
            <v>0</v>
          </cell>
          <cell r="O41">
            <v>0</v>
          </cell>
          <cell r="P41">
            <v>0</v>
          </cell>
          <cell r="Q41">
            <v>0</v>
          </cell>
          <cell r="R41">
            <v>0</v>
          </cell>
        </row>
        <row r="42">
          <cell r="B42" t="str">
            <v/>
          </cell>
          <cell r="D42">
            <v>0</v>
          </cell>
          <cell r="E42">
            <v>0</v>
          </cell>
          <cell r="F42">
            <v>0</v>
          </cell>
          <cell r="G42">
            <v>0</v>
          </cell>
          <cell r="H42">
            <v>0</v>
          </cell>
          <cell r="I42">
            <v>0</v>
          </cell>
          <cell r="J42">
            <v>0</v>
          </cell>
          <cell r="L42">
            <v>0</v>
          </cell>
          <cell r="M42">
            <v>0</v>
          </cell>
          <cell r="N42">
            <v>0</v>
          </cell>
          <cell r="O42">
            <v>0</v>
          </cell>
          <cell r="P42">
            <v>0</v>
          </cell>
          <cell r="Q42">
            <v>0</v>
          </cell>
          <cell r="R42">
            <v>0</v>
          </cell>
        </row>
        <row r="43">
          <cell r="B43" t="str">
            <v/>
          </cell>
          <cell r="D43">
            <v>0</v>
          </cell>
          <cell r="E43">
            <v>0</v>
          </cell>
          <cell r="F43">
            <v>0</v>
          </cell>
          <cell r="G43">
            <v>0</v>
          </cell>
          <cell r="H43">
            <v>0</v>
          </cell>
          <cell r="I43">
            <v>0</v>
          </cell>
          <cell r="J43">
            <v>0</v>
          </cell>
          <cell r="L43">
            <v>0</v>
          </cell>
          <cell r="M43">
            <v>0</v>
          </cell>
          <cell r="N43">
            <v>0</v>
          </cell>
          <cell r="O43">
            <v>0</v>
          </cell>
          <cell r="P43">
            <v>0</v>
          </cell>
          <cell r="Q43">
            <v>0</v>
          </cell>
          <cell r="R43">
            <v>0</v>
          </cell>
        </row>
        <row r="44">
          <cell r="B44" t="str">
            <v/>
          </cell>
          <cell r="D44">
            <v>0</v>
          </cell>
          <cell r="E44">
            <v>0</v>
          </cell>
          <cell r="F44">
            <v>0</v>
          </cell>
          <cell r="G44">
            <v>0</v>
          </cell>
          <cell r="H44">
            <v>0</v>
          </cell>
          <cell r="I44">
            <v>0</v>
          </cell>
          <cell r="J44">
            <v>0</v>
          </cell>
          <cell r="L44">
            <v>0</v>
          </cell>
          <cell r="M44">
            <v>0</v>
          </cell>
          <cell r="N44">
            <v>0</v>
          </cell>
          <cell r="O44">
            <v>0</v>
          </cell>
          <cell r="P44">
            <v>0</v>
          </cell>
          <cell r="Q44">
            <v>0</v>
          </cell>
          <cell r="R44">
            <v>0</v>
          </cell>
        </row>
        <row r="45">
          <cell r="B45" t="str">
            <v/>
          </cell>
          <cell r="D45">
            <v>0</v>
          </cell>
          <cell r="E45">
            <v>0</v>
          </cell>
          <cell r="F45">
            <v>0</v>
          </cell>
          <cell r="G45">
            <v>0</v>
          </cell>
          <cell r="H45">
            <v>0</v>
          </cell>
          <cell r="I45">
            <v>0</v>
          </cell>
          <cell r="J45">
            <v>0</v>
          </cell>
          <cell r="L45">
            <v>0</v>
          </cell>
          <cell r="M45">
            <v>0</v>
          </cell>
          <cell r="N45">
            <v>0</v>
          </cell>
          <cell r="O45">
            <v>0</v>
          </cell>
          <cell r="P45">
            <v>0</v>
          </cell>
          <cell r="Q45">
            <v>0</v>
          </cell>
          <cell r="R45">
            <v>0</v>
          </cell>
        </row>
        <row r="46">
          <cell r="B46" t="str">
            <v/>
          </cell>
          <cell r="D46">
            <v>0</v>
          </cell>
          <cell r="E46">
            <v>0</v>
          </cell>
          <cell r="F46">
            <v>0</v>
          </cell>
          <cell r="G46">
            <v>0</v>
          </cell>
          <cell r="H46">
            <v>0</v>
          </cell>
          <cell r="I46">
            <v>0</v>
          </cell>
          <cell r="J46">
            <v>0</v>
          </cell>
          <cell r="L46">
            <v>0</v>
          </cell>
          <cell r="M46">
            <v>0</v>
          </cell>
          <cell r="N46">
            <v>0</v>
          </cell>
          <cell r="O46">
            <v>0</v>
          </cell>
          <cell r="P46">
            <v>0</v>
          </cell>
          <cell r="Q46">
            <v>0</v>
          </cell>
          <cell r="R46">
            <v>0</v>
          </cell>
        </row>
        <row r="48">
          <cell r="A48" t="str">
            <v>DRIFT</v>
          </cell>
        </row>
        <row r="49">
          <cell r="A49" t="str">
            <v>Sekretærløn</v>
          </cell>
          <cell r="C49">
            <v>39600</v>
          </cell>
          <cell r="D49">
            <v>40600</v>
          </cell>
          <cell r="E49">
            <v>41700</v>
          </cell>
          <cell r="F49">
            <v>42800</v>
          </cell>
          <cell r="G49">
            <v>43900</v>
          </cell>
          <cell r="H49">
            <v>45000</v>
          </cell>
          <cell r="I49">
            <v>46200</v>
          </cell>
          <cell r="J49">
            <v>47400</v>
          </cell>
        </row>
        <row r="50">
          <cell r="A50" t="str">
            <v>Forskningsadministration TAP AGRO</v>
          </cell>
          <cell r="C50">
            <v>4400</v>
          </cell>
          <cell r="D50">
            <v>4600</v>
          </cell>
          <cell r="E50">
            <v>4800</v>
          </cell>
          <cell r="F50">
            <v>5000</v>
          </cell>
          <cell r="G50">
            <v>5200</v>
          </cell>
          <cell r="H50">
            <v>5400</v>
          </cell>
          <cell r="I50">
            <v>5600</v>
          </cell>
          <cell r="J50">
            <v>5800</v>
          </cell>
          <cell r="L50">
            <v>36.164383561643831</v>
          </cell>
          <cell r="M50">
            <v>37.80821917808219</v>
          </cell>
          <cell r="N50">
            <v>39.452054794520549</v>
          </cell>
          <cell r="O50">
            <v>41.095890410958901</v>
          </cell>
          <cell r="P50">
            <v>42.739726027397261</v>
          </cell>
          <cell r="Q50">
            <v>44.383561643835613</v>
          </cell>
          <cell r="R50">
            <v>46.027397260273972</v>
          </cell>
        </row>
        <row r="51">
          <cell r="A51" t="str">
            <v>Forskningsadministration TAP QGG</v>
          </cell>
          <cell r="C51">
            <v>1600</v>
          </cell>
          <cell r="D51">
            <v>1700</v>
          </cell>
          <cell r="E51">
            <v>1800</v>
          </cell>
          <cell r="F51">
            <v>1900</v>
          </cell>
          <cell r="G51">
            <v>2000</v>
          </cell>
          <cell r="H51">
            <v>2100</v>
          </cell>
          <cell r="I51">
            <v>2200</v>
          </cell>
          <cell r="J51">
            <v>2300</v>
          </cell>
          <cell r="L51">
            <v>13.150684931506849</v>
          </cell>
          <cell r="M51">
            <v>13.972602739726026</v>
          </cell>
          <cell r="N51">
            <v>14.794520547945204</v>
          </cell>
          <cell r="O51">
            <v>15.616438356164384</v>
          </cell>
          <cell r="P51">
            <v>16.43835616438356</v>
          </cell>
          <cell r="Q51">
            <v>17.260273972602739</v>
          </cell>
          <cell r="R51">
            <v>18.082191780821915</v>
          </cell>
        </row>
        <row r="52">
          <cell r="A52" t="str">
            <v>Forskningsadministration TAP ANIS</v>
          </cell>
          <cell r="C52">
            <v>3900</v>
          </cell>
          <cell r="D52">
            <v>4000</v>
          </cell>
          <cell r="E52">
            <v>4100</v>
          </cell>
          <cell r="F52">
            <v>4300</v>
          </cell>
          <cell r="G52">
            <v>4500</v>
          </cell>
          <cell r="H52">
            <v>4700</v>
          </cell>
          <cell r="I52">
            <v>4900</v>
          </cell>
          <cell r="J52">
            <v>5100</v>
          </cell>
          <cell r="L52">
            <v>32.054794520547944</v>
          </cell>
          <cell r="M52">
            <v>32.87671232876712</v>
          </cell>
          <cell r="N52">
            <v>33.698630136986303</v>
          </cell>
          <cell r="O52">
            <v>35.342465753424655</v>
          </cell>
          <cell r="P52">
            <v>36.986301369863014</v>
          </cell>
          <cell r="Q52">
            <v>38.630136986301366</v>
          </cell>
          <cell r="R52">
            <v>40.273972602739725</v>
          </cell>
        </row>
        <row r="53">
          <cell r="A53" t="str">
            <v>Forskningsadministration TAP FOOD</v>
          </cell>
          <cell r="C53">
            <v>3300</v>
          </cell>
          <cell r="D53">
            <v>3400</v>
          </cell>
          <cell r="E53">
            <v>3500</v>
          </cell>
          <cell r="F53">
            <v>3600</v>
          </cell>
          <cell r="G53">
            <v>3700</v>
          </cell>
          <cell r="H53">
            <v>3800</v>
          </cell>
          <cell r="I53">
            <v>3900</v>
          </cell>
          <cell r="J53">
            <v>4000</v>
          </cell>
          <cell r="L53">
            <v>27.123287671232877</v>
          </cell>
          <cell r="M53">
            <v>27.945205479452053</v>
          </cell>
          <cell r="N53">
            <v>28.767123287671232</v>
          </cell>
          <cell r="O53">
            <v>29.589041095890408</v>
          </cell>
          <cell r="P53">
            <v>30.410958904109588</v>
          </cell>
          <cell r="Q53">
            <v>31.232876712328768</v>
          </cell>
          <cell r="R53">
            <v>32.054794520547944</v>
          </cell>
        </row>
        <row r="54">
          <cell r="A54" t="str">
            <v>Forskningsadministration drift FOOD</v>
          </cell>
          <cell r="C54">
            <v>0.1</v>
          </cell>
          <cell r="D54">
            <v>0.1</v>
          </cell>
          <cell r="E54">
            <v>0.1</v>
          </cell>
          <cell r="F54">
            <v>0.1</v>
          </cell>
          <cell r="G54">
            <v>0.1</v>
          </cell>
          <cell r="H54">
            <v>0.1</v>
          </cell>
          <cell r="I54">
            <v>0.1</v>
          </cell>
          <cell r="J54">
            <v>0.1</v>
          </cell>
        </row>
        <row r="55">
          <cell r="A55" t="str">
            <v>Forskningsadministration drift ANIS</v>
          </cell>
          <cell r="C55">
            <v>3300</v>
          </cell>
          <cell r="D55">
            <v>3400</v>
          </cell>
          <cell r="E55">
            <v>3500</v>
          </cell>
          <cell r="F55">
            <v>3600</v>
          </cell>
          <cell r="G55">
            <v>3800</v>
          </cell>
          <cell r="H55">
            <v>4000</v>
          </cell>
          <cell r="I55">
            <v>4200</v>
          </cell>
          <cell r="J55">
            <v>4400</v>
          </cell>
        </row>
        <row r="56">
          <cell r="A56" t="str">
            <v>Forskningsadministration drift AGRO</v>
          </cell>
          <cell r="C56">
            <v>5600</v>
          </cell>
          <cell r="D56">
            <v>5800</v>
          </cell>
          <cell r="E56">
            <v>6000</v>
          </cell>
          <cell r="F56">
            <v>6200</v>
          </cell>
          <cell r="G56">
            <v>6400</v>
          </cell>
          <cell r="H56">
            <v>6600</v>
          </cell>
          <cell r="I56">
            <v>6800</v>
          </cell>
          <cell r="J56">
            <v>7000</v>
          </cell>
        </row>
        <row r="57">
          <cell r="A57" t="str">
            <v>Forskningsadministration drift QGG</v>
          </cell>
          <cell r="C57">
            <v>0</v>
          </cell>
          <cell r="D57">
            <v>0</v>
          </cell>
          <cell r="E57">
            <v>0</v>
          </cell>
          <cell r="F57">
            <v>0</v>
          </cell>
          <cell r="G57">
            <v>0</v>
          </cell>
          <cell r="H57">
            <v>0</v>
          </cell>
          <cell r="I57">
            <v>0</v>
          </cell>
          <cell r="J57">
            <v>0</v>
          </cell>
        </row>
        <row r="58">
          <cell r="A58" t="str">
            <v>Bench Fee (kun ved NNF)</v>
          </cell>
          <cell r="C58">
            <v>8000</v>
          </cell>
          <cell r="D58">
            <v>8000</v>
          </cell>
          <cell r="E58">
            <v>8000</v>
          </cell>
          <cell r="F58">
            <v>8000</v>
          </cell>
          <cell r="G58">
            <v>8000</v>
          </cell>
          <cell r="H58">
            <v>8000</v>
          </cell>
          <cell r="I58">
            <v>8000</v>
          </cell>
          <cell r="J58">
            <v>8000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connectionId="3" xr16:uid="{297CBD91-0113-44C3-89B7-F9F0004A6CFF}" autoFormatId="16" applyNumberFormats="0" applyBorderFormats="0" applyFontFormats="0" applyPatternFormats="0" applyAlignmentFormats="0" applyWidthHeightFormats="0">
  <queryTableRefresh nextId="3">
    <queryTableFields count="1">
      <queryTableField id="2" name="GrantSource"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ksterneData_2" connectionId="4" xr16:uid="{A2263165-6FD6-4D8A-97FD-FA653DB41009}" autoFormatId="16" applyNumberFormats="0" applyBorderFormats="0" applyFontFormats="0" applyPatternFormats="0" applyAlignmentFormats="0" applyWidthHeightFormats="0">
  <queryTableRefresh nextId="4">
    <queryTableFields count="2">
      <queryTableField id="1" name="GrantSource" tableColumnId="1"/>
      <queryTableField id="3" name="Instrument" tableColumnId="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ksterneData_2" connectionId="5" xr16:uid="{0024D9E5-A19B-498D-B108-43669E381B79}" autoFormatId="16" applyNumberFormats="0" applyBorderFormats="0" applyFontFormats="0" applyPatternFormats="0" applyAlignmentFormats="0" applyWidthHeightFormats="0">
  <queryTableRefresh nextId="4">
    <queryTableFields count="2">
      <queryTableField id="2" name="Department" tableColumnId="2"/>
      <queryTableField id="3" name="Section" tableColumnId="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ksterneData_3" connectionId="2" xr16:uid="{AA1F09C1-61C8-4668-8B21-84C1E7CFD7BA}" autoFormatId="16" applyNumberFormats="0" applyBorderFormats="0" applyFontFormats="0" applyPatternFormats="0" applyAlignmentFormats="0" applyWidthHeightFormats="0">
  <queryTableRefresh nextId="3">
    <queryTableFields count="2">
      <queryTableField id="1" name="AUID" tableColumnId="1"/>
      <queryTableField id="2" name="Name"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ksterneData_1" connectionId="1" xr16:uid="{4F72BFE8-ACFF-416D-B9D8-F2008FF27307}" autoFormatId="16" applyNumberFormats="0" applyBorderFormats="0" applyFontFormats="0" applyPatternFormats="0" applyAlignmentFormats="0" applyWidthHeightFormats="0">
  <queryTableRefresh nextId="8">
    <queryTableFields count="4">
      <queryTableField id="4" name="currency.code" tableColumnId="4"/>
      <queryTableField id="5" name="currency.name" tableColumnId="5"/>
      <queryTableField id="6" name="currency.rate" tableColumnId="6"/>
      <queryTableField id="7" name="LastUpdated" tableColumnId="7"/>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el12" displayName="Tabel12" ref="A4:C30" totalsRowShown="0" headerRowDxfId="60" dataDxfId="59">
  <autoFilter ref="A4:C30" xr:uid="{00000000-0009-0000-0100-00000C000000}"/>
  <tableColumns count="3">
    <tableColumn id="1" xr3:uid="{00000000-0010-0000-0000-000001000000}" name="VIP" dataDxfId="58"/>
    <tableColumn id="2" xr3:uid="{00000000-0010-0000-0000-000002000000}" name=" " dataDxfId="57">
      <calculatedColumnFormula>IFERROR(VLOOKUP(A5,Lister!$A$20:$B$21,2,FALSE),"")</calculatedColumnFormula>
    </tableColumn>
    <tableColumn id="3" xr3:uid="{00000000-0010-0000-0000-000003000000}" name="Column1" dataDxfId="5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el13" displayName="Tabel13" ref="A32:C51" totalsRowShown="0" headerRowDxfId="55" dataDxfId="54">
  <autoFilter ref="A32:C51" xr:uid="{00000000-0009-0000-0100-00000D000000}"/>
  <tableColumns count="3">
    <tableColumn id="1" xr3:uid="{00000000-0010-0000-0100-000001000000}" name="TAP" dataDxfId="53"/>
    <tableColumn id="2" xr3:uid="{00000000-0010-0000-0100-000002000000}" name=" " dataDxfId="52"/>
    <tableColumn id="3" xr3:uid="{00000000-0010-0000-0100-000003000000}" name="Column1"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Tabel14" displayName="Tabel14" ref="A53:B82" totalsRowShown="0" headerRowDxfId="50" dataDxfId="49">
  <autoFilter ref="A53:B82" xr:uid="{00000000-0009-0000-0100-00000E000000}"/>
  <tableColumns count="2">
    <tableColumn id="1" xr3:uid="{00000000-0010-0000-0200-000001000000}" name="DRIFT" dataDxfId="48"/>
    <tableColumn id="2" xr3:uid="{843405C8-EF05-4369-B0D8-8C773642AB33}" name="Column1" dataDxfId="4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6751D78-A8A8-40E4-8944-BE4232AB2ED8}" name="GrantSource" displayName="GrantSource" ref="A1:A315" tableType="queryTable" totalsRowShown="0">
  <autoFilter ref="A1:A315" xr:uid="{B6751D78-A8A8-40E4-8944-BE4232AB2ED8}"/>
  <tableColumns count="1">
    <tableColumn id="2" xr3:uid="{D1B449A3-26A1-4D67-A0B7-ED1445256610}" uniqueName="2" name="GrantSource" queryTableFieldId="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24460C0-F70E-47E1-BDB5-2C5DDEDDFBD6}" name="Instrument_1" displayName="Instrument_1" ref="A1:B460" tableType="queryTable" totalsRowShown="0">
  <autoFilter ref="A1:B460" xr:uid="{E24460C0-F70E-47E1-BDB5-2C5DDEDDFBD6}"/>
  <tableColumns count="2">
    <tableColumn id="1" xr3:uid="{F2D7E88B-1B2A-4DDC-B7AC-8FFCE101558E}" uniqueName="1" name="GrantSource" queryTableFieldId="1"/>
    <tableColumn id="3" xr3:uid="{9C172E3C-B499-4F89-9A9A-1E7A747EE8CC}" uniqueName="3" name="Instrument" queryTableFieldId="3"/>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8B8D3B5-1436-4425-B40E-40E5BE6A3034}" name="Section" displayName="Section" ref="A1:B73" tableType="queryTable" totalsRowShown="0">
  <autoFilter ref="A1:B73" xr:uid="{C8B8D3B5-1436-4425-B40E-40E5BE6A3034}"/>
  <tableColumns count="2">
    <tableColumn id="2" xr3:uid="{0F8D3E4E-0903-4759-97CA-1CDBB204C2CD}" uniqueName="2" name="Department" queryTableFieldId="2" dataDxfId="46"/>
    <tableColumn id="3" xr3:uid="{BAA8D8DB-1505-4545-B9A9-DC3BE0DFF04E}" uniqueName="3" name="Section" queryTableFieldId="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89FC23D-476D-473B-9B35-ABE86F8F0725}" name="Economists" displayName="Economists" ref="A1:B79" tableType="queryTable" totalsRowShown="0">
  <autoFilter ref="A1:B79" xr:uid="{989FC23D-476D-473B-9B35-ABE86F8F0725}"/>
  <tableColumns count="2">
    <tableColumn id="1" xr3:uid="{5ADF051C-1D5C-4EBE-BA2A-F9D105FE6152}" uniqueName="1" name="AUID" queryTableFieldId="1"/>
    <tableColumn id="2" xr3:uid="{FE7B8CEB-6CDE-44B2-A56A-50C93B5D7EC5}" uniqueName="2" name="Name" queryTableFieldId="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el1" displayName="Tabel1" ref="A3:B17" totalsRowShown="0" headerRowDxfId="45" dataDxfId="44">
  <autoFilter ref="A3:B17" xr:uid="{00000000-0009-0000-0100-000001000000}"/>
  <tableColumns count="2">
    <tableColumn id="1" xr3:uid="{00000000-0010-0000-0300-000001000000}" name="Institute" dataDxfId="43"/>
    <tableColumn id="2" xr3:uid="{9ED6E835-55A0-4792-B574-668D2544C82F}" name="Long name" dataDxfId="4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el2" displayName="Tabel2" ref="D36:D43" totalsRowShown="0" headerRowDxfId="41" dataDxfId="40">
  <autoFilter ref="D36:D43" xr:uid="{00000000-0009-0000-0100-000002000000}"/>
  <tableColumns count="1">
    <tableColumn id="1" xr3:uid="{00000000-0010-0000-0400-000001000000}" name="Overheadsrate" dataDxfId="39"/>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el3" displayName="Tabel3" ref="D3:D7" totalsRowShown="0" headerRowDxfId="38" dataDxfId="37">
  <autoFilter ref="D3:D7" xr:uid="{00000000-0009-0000-0100-000003000000}"/>
  <tableColumns count="1">
    <tableColumn id="1" xr3:uid="{00000000-0010-0000-0500-000001000000}" name="Overhead calculated on" dataDxfId="36"/>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el4" displayName="Tabel4" ref="F3:G10" totalsRowShown="0" headerRowDxfId="35" dataDxfId="34">
  <autoFilter ref="F3:G10" xr:uid="{00000000-0009-0000-0100-000004000000}"/>
  <tableColumns count="2">
    <tableColumn id="1" xr3:uid="{00000000-0010-0000-0600-000001000000}" name="Yearly hours" dataDxfId="33"/>
    <tableColumn id="2" xr3:uid="{00000000-0010-0000-0600-000002000000}" name="Description" dataDxfId="32"/>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6" displayName="Tabel6" ref="I3:I7" totalsRowShown="0" headerRowDxfId="31" dataDxfId="30">
  <autoFilter ref="I3:I7" xr:uid="{00000000-0009-0000-0100-000006000000}"/>
  <tableColumns count="1">
    <tableColumn id="1" xr3:uid="{00000000-0010-0000-0700-000001000000}" name="Supplement to research administration calculated by" dataDxfId="29"/>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58" displayName="Tabel58" ref="K3:K6" totalsRowShown="0" headerRowDxfId="28" dataDxfId="27">
  <autoFilter ref="K3:K6" xr:uid="{00000000-0009-0000-0100-000007000000}"/>
  <tableColumns count="1">
    <tableColumn id="1" xr3:uid="{00000000-0010-0000-0800-000001000000}" name="Currency" dataDxfId="26"/>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19" displayName="Tabel19" ref="A19:B30" totalsRowShown="0" headerRowDxfId="25" dataDxfId="24">
  <autoFilter ref="A19:B30" xr:uid="{00000000-0009-0000-0100-000008000000}"/>
  <tableColumns count="2">
    <tableColumn id="1" xr3:uid="{00000000-0010-0000-0900-000001000000}" name="Job functions" dataDxfId="23"/>
    <tableColumn id="2" xr3:uid="{D50A1E8C-352E-4ED6-B789-2EDC8F0BA57E}" name="Column1" dataDxfId="22"/>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el5810" displayName="Tabel5810" ref="D19:D25" totalsRowShown="0" headerRowDxfId="21" dataDxfId="20">
  <autoFilter ref="D19:D25" xr:uid="{00000000-0009-0000-0100-000009000000}"/>
  <tableColumns count="1">
    <tableColumn id="1" xr3:uid="{00000000-0010-0000-0A00-000001000000}" name="Currency" dataDxfId="19"/>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el58106" displayName="Tabel58106" ref="I19:I45" totalsRowShown="0" headerRowDxfId="18" dataDxfId="17">
  <autoFilter ref="I19:I45" xr:uid="{00000000-0009-0000-0100-000005000000}"/>
  <sortState xmlns:xlrd2="http://schemas.microsoft.com/office/spreadsheetml/2017/richdata2" ref="I20:I41">
    <sortCondition ref="I19:I41"/>
  </sortState>
  <tableColumns count="1">
    <tableColumn id="1" xr3:uid="{00000000-0010-0000-0B00-000001000000}" name="Funder" dataDxfId="16"/>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BF6115D-6A2B-44B4-B40E-4A07895469F3}" name="Tabel581011" displayName="Tabel581011" ref="D28:D32" totalsRowShown="0" headerRowDxfId="15" dataDxfId="14">
  <autoFilter ref="D28:D32" xr:uid="{4BF6115D-6A2B-44B4-B40E-4A07895469F3}"/>
  <tableColumns count="1">
    <tableColumn id="1" xr3:uid="{5EF91EAB-EF9F-4399-97CB-9B35EC1FF71B}" name="Type of budget" dataDxfId="13"/>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0C196CF-ECBA-417B-8FF6-D709B223808C}" name="currencyratesxml?lang_en" displayName="currencyratesxml?lang_en" ref="A1:D32" tableType="queryTable" totalsRowShown="0">
  <autoFilter ref="A1:D32" xr:uid="{60C196CF-ECBA-417B-8FF6-D709B223808C}"/>
  <tableColumns count="4">
    <tableColumn id="4" xr3:uid="{04AF38F5-830F-4C56-B907-7D4F80B78666}" uniqueName="4" name="currency.code" queryTableFieldId="4"/>
    <tableColumn id="5" xr3:uid="{6FAF032E-ACA6-4F32-9F17-834828F70898}" uniqueName="5" name="currency.name" queryTableFieldId="5"/>
    <tableColumn id="6" xr3:uid="{B7C9D2A6-1C6B-4143-BBAB-289D085BB853}" uniqueName="6" name="currency.rate" queryTableFieldId="6" dataDxfId="12"/>
    <tableColumn id="7" xr3:uid="{E8CDBB81-E604-483C-B9DA-50A08C208E66}" uniqueName="7" name="LastUpdated" queryTableFieldId="7" dataDxfId="11"/>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E17C6C3-4687-4E2F-A79C-AD34E1BCCB3D}" name="Tabel21" displayName="Tabel21" ref="A3:D4" insertRowShift="1" totalsRowShown="0" headerRowDxfId="10" dataDxfId="8" headerRowBorderDxfId="9" tableBorderDxfId="7" totalsRowBorderDxfId="6">
  <autoFilter ref="A3:D4" xr:uid="{5E17C6C3-4687-4E2F-A79C-AD34E1BCCB3D}"/>
  <tableColumns count="4">
    <tableColumn id="1" xr3:uid="{4CF30B76-FB9F-4FF2-B483-B66382117172}" name="Grant source" dataDxfId="5"/>
    <tableColumn id="2" xr3:uid="{0271C793-9499-46A8-9801-E7781411E095}" name="Instrument" dataDxfId="4"/>
    <tableColumn id="3" xr3:uid="{96558316-C822-4A77-BBFC-9D8EB8CCEF5C}" name="Overhead %" dataDxfId="3"/>
    <tableColumn id="4" xr3:uid="{5DF362D1-04B3-4F14-A6D2-CBED535FAEBB}" name="Project supplement (Yes/No)"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5.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table" Target="../tables/table8.xml"/><Relationship Id="rId6" Type="http://schemas.openxmlformats.org/officeDocument/2006/relationships/table" Target="../tables/table13.xml"/><Relationship Id="rId5" Type="http://schemas.openxmlformats.org/officeDocument/2006/relationships/table" Target="../tables/table12.xml"/><Relationship Id="rId10" Type="http://schemas.openxmlformats.org/officeDocument/2006/relationships/table" Target="../tables/table17.xml"/><Relationship Id="rId4" Type="http://schemas.openxmlformats.org/officeDocument/2006/relationships/table" Target="../tables/table11.xml"/><Relationship Id="rId9"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hyperlink" Target="mailto:Nat-Tech.Finance.Application@au.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1"/>
  <dimension ref="A1:AA99"/>
  <sheetViews>
    <sheetView zoomScale="110" zoomScaleNormal="110" workbookViewId="0">
      <selection activeCell="A20" sqref="A20"/>
    </sheetView>
  </sheetViews>
  <sheetFormatPr defaultColWidth="8.75" defaultRowHeight="14.25" x14ac:dyDescent="0.2"/>
  <cols>
    <col min="1" max="1" width="47.125" style="1" customWidth="1"/>
    <col min="2" max="2" width="24.5" style="1" customWidth="1"/>
    <col min="3" max="12" width="8.75" style="1"/>
    <col min="13" max="13" width="3" style="1" customWidth="1"/>
    <col min="14" max="14" width="8.75" style="1"/>
    <col min="15" max="23" width="8.75" style="3" customWidth="1"/>
    <col min="24" max="24" width="8.75" style="1"/>
    <col min="25" max="25" width="10.625" style="1" bestFit="1" customWidth="1"/>
    <col min="26" max="16384" width="8.75" style="1"/>
  </cols>
  <sheetData>
    <row r="1" spans="1:27" ht="18" x14ac:dyDescent="0.25">
      <c r="A1" s="40" t="s">
        <v>36</v>
      </c>
      <c r="B1" s="40"/>
      <c r="C1" s="42" t="s">
        <v>109</v>
      </c>
    </row>
    <row r="2" spans="1:27" s="2" customFormat="1" ht="15" x14ac:dyDescent="0.25">
      <c r="C2" s="407" t="s">
        <v>37</v>
      </c>
      <c r="D2" s="407"/>
      <c r="E2" s="407"/>
      <c r="F2" s="407"/>
      <c r="G2" s="407"/>
      <c r="H2" s="407"/>
      <c r="I2" s="407"/>
      <c r="J2" s="62"/>
      <c r="K2" s="62"/>
      <c r="L2" s="62"/>
      <c r="N2" s="407" t="s">
        <v>38</v>
      </c>
      <c r="O2" s="407"/>
      <c r="P2" s="407"/>
      <c r="Q2" s="407"/>
      <c r="R2" s="407"/>
      <c r="S2" s="407"/>
      <c r="T2" s="407"/>
      <c r="U2" s="62"/>
      <c r="V2" s="62"/>
      <c r="W2" s="62"/>
    </row>
    <row r="3" spans="1:27" s="2" customFormat="1" ht="15" x14ac:dyDescent="0.25">
      <c r="A3" s="2" t="s">
        <v>11</v>
      </c>
      <c r="C3" s="44">
        <v>2025</v>
      </c>
      <c r="D3" s="17">
        <f t="shared" ref="D3:J3" si="0">+C3+1</f>
        <v>2026</v>
      </c>
      <c r="E3" s="17">
        <f t="shared" si="0"/>
        <v>2027</v>
      </c>
      <c r="F3" s="17">
        <f t="shared" si="0"/>
        <v>2028</v>
      </c>
      <c r="G3" s="17">
        <f t="shared" si="0"/>
        <v>2029</v>
      </c>
      <c r="H3" s="17">
        <f t="shared" si="0"/>
        <v>2030</v>
      </c>
      <c r="I3" s="17">
        <f t="shared" si="0"/>
        <v>2031</v>
      </c>
      <c r="J3" s="17">
        <f t="shared" si="0"/>
        <v>2032</v>
      </c>
      <c r="K3" s="17">
        <f t="shared" ref="K3" si="1">+J3+1</f>
        <v>2033</v>
      </c>
      <c r="L3" s="17">
        <f t="shared" ref="L3" si="2">+K3+1</f>
        <v>2034</v>
      </c>
      <c r="N3" s="2">
        <f>+C3</f>
        <v>2025</v>
      </c>
      <c r="O3" s="2">
        <f t="shared" ref="O3:U3" si="3">+D3</f>
        <v>2026</v>
      </c>
      <c r="P3" s="2">
        <f t="shared" si="3"/>
        <v>2027</v>
      </c>
      <c r="Q3" s="2">
        <f t="shared" si="3"/>
        <v>2028</v>
      </c>
      <c r="R3" s="2">
        <f t="shared" si="3"/>
        <v>2029</v>
      </c>
      <c r="S3" s="2">
        <f t="shared" si="3"/>
        <v>2030</v>
      </c>
      <c r="T3" s="2">
        <f t="shared" si="3"/>
        <v>2031</v>
      </c>
      <c r="U3" s="2">
        <f t="shared" si="3"/>
        <v>2032</v>
      </c>
      <c r="V3" s="2">
        <f t="shared" ref="V3" si="4">+K3</f>
        <v>2033</v>
      </c>
      <c r="W3" s="2">
        <f t="shared" ref="W3" si="5">+L3</f>
        <v>2034</v>
      </c>
      <c r="Y3" s="37" t="s">
        <v>2</v>
      </c>
      <c r="Z3" s="37">
        <v>1.03</v>
      </c>
      <c r="AA3" s="1"/>
    </row>
    <row r="4" spans="1:27" s="2" customFormat="1" ht="15" x14ac:dyDescent="0.25">
      <c r="A4" s="2" t="s">
        <v>7</v>
      </c>
      <c r="B4" s="2" t="s">
        <v>19</v>
      </c>
      <c r="C4" s="2" t="s">
        <v>97</v>
      </c>
      <c r="O4" s="17"/>
      <c r="P4" s="17"/>
      <c r="Q4" s="17"/>
      <c r="R4" s="17"/>
      <c r="S4" s="17"/>
      <c r="T4" s="17"/>
      <c r="U4" s="17"/>
      <c r="V4" s="17"/>
      <c r="W4" s="17"/>
      <c r="Y4" s="37" t="s">
        <v>1</v>
      </c>
      <c r="Z4" s="37">
        <v>1.028</v>
      </c>
    </row>
    <row r="5" spans="1:27" s="2" customFormat="1" ht="15" x14ac:dyDescent="0.25">
      <c r="A5" s="1" t="s">
        <v>1314</v>
      </c>
      <c r="B5" s="1" t="str">
        <f>IFERROR(VLOOKUP(A5,Lister!$A$20:$B$21,2,FALSE),"")</f>
        <v/>
      </c>
      <c r="C5" s="1"/>
      <c r="O5" s="17"/>
      <c r="P5" s="17"/>
      <c r="Q5" s="17"/>
      <c r="R5" s="17"/>
      <c r="S5" s="17"/>
      <c r="T5" s="17"/>
      <c r="U5" s="17"/>
      <c r="V5" s="17"/>
      <c r="W5" s="17"/>
      <c r="Y5" s="37" t="s">
        <v>12</v>
      </c>
      <c r="Z5" s="37">
        <f>1460/12</f>
        <v>121.66666666666667</v>
      </c>
      <c r="AA5" s="41"/>
    </row>
    <row r="6" spans="1:27" s="2" customFormat="1" ht="15" x14ac:dyDescent="0.25">
      <c r="A6" s="1" t="s">
        <v>35</v>
      </c>
      <c r="B6" s="54" t="str">
        <f>IFERROR(VLOOKUP(A6,Lister!$A$20:$B$21,2,FALSE),"")</f>
        <v/>
      </c>
      <c r="C6" s="237">
        <v>111600</v>
      </c>
      <c r="D6" s="35">
        <f>ROUNDUP(+C6*$Z$3,-2)</f>
        <v>115000</v>
      </c>
      <c r="E6" s="31">
        <f t="shared" ref="D6:J22" si="6">ROUNDUP(+D6*$Z$3,-2)</f>
        <v>118500</v>
      </c>
      <c r="F6" s="31">
        <f t="shared" si="6"/>
        <v>122100</v>
      </c>
      <c r="G6" s="31">
        <f t="shared" si="6"/>
        <v>125800</v>
      </c>
      <c r="H6" s="31">
        <f t="shared" si="6"/>
        <v>129600</v>
      </c>
      <c r="I6" s="31">
        <f t="shared" si="6"/>
        <v>133500</v>
      </c>
      <c r="J6" s="31">
        <f t="shared" si="6"/>
        <v>137600</v>
      </c>
      <c r="K6" s="31">
        <f t="shared" ref="K6:L30" si="7">ROUNDUP(+J6*$Z$3,-2)</f>
        <v>141800</v>
      </c>
      <c r="L6" s="31">
        <f t="shared" si="7"/>
        <v>146100</v>
      </c>
      <c r="M6" s="1"/>
      <c r="N6" s="31">
        <f t="shared" ref="N6:N11" si="8">+C6/$Z$5</f>
        <v>917.2602739726027</v>
      </c>
      <c r="O6" s="31">
        <f t="shared" ref="O6:O30" si="9">+D6/$Z$5</f>
        <v>945.20547945205476</v>
      </c>
      <c r="P6" s="31">
        <f t="shared" ref="P6:P30" si="10">+E6/$Z$5</f>
        <v>973.97260273972597</v>
      </c>
      <c r="Q6" s="31">
        <f t="shared" ref="Q6:Q30" si="11">+F6/$Z$5</f>
        <v>1003.5616438356165</v>
      </c>
      <c r="R6" s="31">
        <f t="shared" ref="R6:R30" si="12">+G6/$Z$5</f>
        <v>1033.972602739726</v>
      </c>
      <c r="S6" s="31">
        <f t="shared" ref="S6:S30" si="13">+H6/$Z$5</f>
        <v>1065.2054794520548</v>
      </c>
      <c r="T6" s="31">
        <f t="shared" ref="T6:U30" si="14">+I6/$Z$5</f>
        <v>1097.2602739726026</v>
      </c>
      <c r="U6" s="31">
        <f t="shared" si="14"/>
        <v>1130.958904109589</v>
      </c>
      <c r="V6" s="31">
        <f>+K6/$Z$5</f>
        <v>1165.4794520547944</v>
      </c>
      <c r="W6" s="31">
        <f t="shared" ref="W6:W30" si="15">+L6/$Z$5</f>
        <v>1200.821917808219</v>
      </c>
      <c r="X6" s="1"/>
    </row>
    <row r="7" spans="1:27" x14ac:dyDescent="0.2">
      <c r="A7" s="1" t="s">
        <v>770</v>
      </c>
      <c r="B7" s="54" t="str">
        <f>IFERROR(VLOOKUP(A7,Lister!$A$20:$B$21,2,FALSE),"")</f>
        <v/>
      </c>
      <c r="C7" s="237">
        <v>87700</v>
      </c>
      <c r="D7" s="35">
        <f t="shared" si="6"/>
        <v>90400</v>
      </c>
      <c r="E7" s="31">
        <f t="shared" si="6"/>
        <v>93200</v>
      </c>
      <c r="F7" s="31">
        <f t="shared" si="6"/>
        <v>96000</v>
      </c>
      <c r="G7" s="31">
        <f t="shared" si="6"/>
        <v>98900</v>
      </c>
      <c r="H7" s="31">
        <f t="shared" si="6"/>
        <v>101900</v>
      </c>
      <c r="I7" s="31">
        <f t="shared" si="6"/>
        <v>105000</v>
      </c>
      <c r="J7" s="31">
        <f t="shared" si="6"/>
        <v>108200</v>
      </c>
      <c r="K7" s="31">
        <f t="shared" si="7"/>
        <v>111500</v>
      </c>
      <c r="L7" s="31">
        <f t="shared" si="7"/>
        <v>114900</v>
      </c>
      <c r="N7" s="31">
        <f>+C7/$Z$5</f>
        <v>720.82191780821915</v>
      </c>
      <c r="O7" s="31">
        <f t="shared" si="9"/>
        <v>743.0136986301369</v>
      </c>
      <c r="P7" s="31">
        <f t="shared" si="10"/>
        <v>766.02739726027391</v>
      </c>
      <c r="Q7" s="31">
        <f t="shared" si="11"/>
        <v>789.04109589041093</v>
      </c>
      <c r="R7" s="31">
        <f t="shared" si="12"/>
        <v>812.8767123287671</v>
      </c>
      <c r="S7" s="31">
        <f t="shared" si="13"/>
        <v>837.53424657534242</v>
      </c>
      <c r="T7" s="31">
        <f t="shared" si="14"/>
        <v>863.0136986301369</v>
      </c>
      <c r="U7" s="31">
        <f t="shared" si="14"/>
        <v>889.31506849315065</v>
      </c>
      <c r="V7" s="31">
        <f t="shared" ref="V7:V30" si="16">+K7/$Z$5</f>
        <v>916.43835616438355</v>
      </c>
      <c r="W7" s="31">
        <f t="shared" si="15"/>
        <v>944.38356164383561</v>
      </c>
    </row>
    <row r="8" spans="1:27" x14ac:dyDescent="0.2">
      <c r="A8" s="1" t="s">
        <v>769</v>
      </c>
      <c r="B8" s="54" t="str">
        <f>IFERROR(VLOOKUP(A8,Lister!$A$20:$B$21,2,FALSE),"")</f>
        <v/>
      </c>
      <c r="C8" s="237">
        <v>84600</v>
      </c>
      <c r="D8" s="35">
        <f t="shared" ref="D8" si="17">ROUNDUP(+C8*$Z$3,-2)</f>
        <v>87200</v>
      </c>
      <c r="E8" s="31">
        <f t="shared" ref="E8" si="18">ROUNDUP(+D8*$Z$3,-2)</f>
        <v>89900</v>
      </c>
      <c r="F8" s="31">
        <f t="shared" ref="F8" si="19">ROUNDUP(+E8*$Z$3,-2)</f>
        <v>92600</v>
      </c>
      <c r="G8" s="31">
        <f t="shared" ref="G8" si="20">ROUNDUP(+F8*$Z$3,-2)</f>
        <v>95400</v>
      </c>
      <c r="H8" s="31">
        <f t="shared" ref="H8" si="21">ROUNDUP(+G8*$Z$3,-2)</f>
        <v>98300</v>
      </c>
      <c r="I8" s="31">
        <f t="shared" ref="I8" si="22">ROUNDUP(+H8*$Z$3,-2)</f>
        <v>101300</v>
      </c>
      <c r="J8" s="31">
        <f t="shared" ref="J8" si="23">ROUNDUP(+I8*$Z$3,-2)</f>
        <v>104400</v>
      </c>
      <c r="K8" s="31">
        <f t="shared" si="7"/>
        <v>107600</v>
      </c>
      <c r="L8" s="31">
        <f t="shared" si="7"/>
        <v>110900</v>
      </c>
      <c r="N8" s="31">
        <f>+C8/$Z$5</f>
        <v>695.34246575342468</v>
      </c>
      <c r="O8" s="31">
        <f t="shared" ref="O8" si="24">+D8/$Z$5</f>
        <v>716.71232876712327</v>
      </c>
      <c r="P8" s="31">
        <f t="shared" ref="P8" si="25">+E8/$Z$5</f>
        <v>738.90410958904101</v>
      </c>
      <c r="Q8" s="31">
        <f t="shared" ref="Q8" si="26">+F8/$Z$5</f>
        <v>761.09589041095887</v>
      </c>
      <c r="R8" s="31">
        <f t="shared" ref="R8" si="27">+G8/$Z$5</f>
        <v>784.10958904109589</v>
      </c>
      <c r="S8" s="31">
        <f t="shared" ref="S8" si="28">+H8/$Z$5</f>
        <v>807.94520547945206</v>
      </c>
      <c r="T8" s="31">
        <f t="shared" ref="T8" si="29">+I8/$Z$5</f>
        <v>832.60273972602738</v>
      </c>
      <c r="U8" s="31">
        <f t="shared" ref="U8" si="30">+J8/$Z$5</f>
        <v>858.08219178082186</v>
      </c>
      <c r="V8" s="31">
        <f t="shared" si="16"/>
        <v>884.38356164383561</v>
      </c>
      <c r="W8" s="31">
        <f t="shared" si="15"/>
        <v>911.50684931506851</v>
      </c>
    </row>
    <row r="9" spans="1:27" x14ac:dyDescent="0.2">
      <c r="A9" s="1" t="s">
        <v>768</v>
      </c>
      <c r="B9" s="54" t="str">
        <f>IFERROR(VLOOKUP(A9,Lister!$A$20:$B$21,2,FALSE),"")</f>
        <v/>
      </c>
      <c r="C9" s="237">
        <v>87700</v>
      </c>
      <c r="D9" s="35">
        <f t="shared" ref="D9:D10" si="31">ROUNDUP(+C9*$Z$3,-2)</f>
        <v>90400</v>
      </c>
      <c r="E9" s="31">
        <f t="shared" ref="E9:E10" si="32">ROUNDUP(+D9*$Z$3,-2)</f>
        <v>93200</v>
      </c>
      <c r="F9" s="31">
        <f t="shared" ref="F9:F10" si="33">ROUNDUP(+E9*$Z$3,-2)</f>
        <v>96000</v>
      </c>
      <c r="G9" s="31">
        <f t="shared" ref="G9:G10" si="34">ROUNDUP(+F9*$Z$3,-2)</f>
        <v>98900</v>
      </c>
      <c r="H9" s="31">
        <f t="shared" ref="H9:H10" si="35">ROUNDUP(+G9*$Z$3,-2)</f>
        <v>101900</v>
      </c>
      <c r="I9" s="31">
        <f t="shared" ref="I9:I10" si="36">ROUNDUP(+H9*$Z$3,-2)</f>
        <v>105000</v>
      </c>
      <c r="J9" s="31">
        <f t="shared" ref="J9:J10" si="37">ROUNDUP(+I9*$Z$3,-2)</f>
        <v>108200</v>
      </c>
      <c r="K9" s="31">
        <f t="shared" ref="K9:K10" si="38">ROUNDUP(+J9*$Z$3,-2)</f>
        <v>111500</v>
      </c>
      <c r="L9" s="31">
        <f t="shared" ref="L9:L10" si="39">ROUNDUP(+K9*$Z$3,-2)</f>
        <v>114900</v>
      </c>
      <c r="N9" s="31">
        <f>+C9/$Z$5</f>
        <v>720.82191780821915</v>
      </c>
      <c r="O9" s="31">
        <f t="shared" ref="O9:O10" si="40">+D9/$Z$5</f>
        <v>743.0136986301369</v>
      </c>
      <c r="P9" s="31">
        <f t="shared" ref="P9:P10" si="41">+E9/$Z$5</f>
        <v>766.02739726027391</v>
      </c>
      <c r="Q9" s="31">
        <f t="shared" ref="Q9:Q10" si="42">+F9/$Z$5</f>
        <v>789.04109589041093</v>
      </c>
      <c r="R9" s="31">
        <f t="shared" ref="R9:R10" si="43">+G9/$Z$5</f>
        <v>812.8767123287671</v>
      </c>
      <c r="S9" s="31">
        <f t="shared" ref="S9:S10" si="44">+H9/$Z$5</f>
        <v>837.53424657534242</v>
      </c>
      <c r="T9" s="31">
        <f t="shared" ref="T9:T10" si="45">+I9/$Z$5</f>
        <v>863.0136986301369</v>
      </c>
      <c r="U9" s="31">
        <f t="shared" ref="U9:U10" si="46">+J9/$Z$5</f>
        <v>889.31506849315065</v>
      </c>
      <c r="V9" s="31">
        <f t="shared" ref="V9:V10" si="47">+K9/$Z$5</f>
        <v>916.43835616438355</v>
      </c>
      <c r="W9" s="31">
        <f t="shared" ref="W9:W10" si="48">+L9/$Z$5</f>
        <v>944.38356164383561</v>
      </c>
    </row>
    <row r="10" spans="1:27" x14ac:dyDescent="0.2">
      <c r="A10" s="1" t="s">
        <v>767</v>
      </c>
      <c r="B10" s="54" t="str">
        <f>IFERROR(VLOOKUP(A10,Lister!$A$20:$B$21,2,FALSE),"")</f>
        <v/>
      </c>
      <c r="C10" s="237">
        <v>84600</v>
      </c>
      <c r="D10" s="35">
        <f t="shared" si="31"/>
        <v>87200</v>
      </c>
      <c r="E10" s="31">
        <f t="shared" si="32"/>
        <v>89900</v>
      </c>
      <c r="F10" s="31">
        <f t="shared" si="33"/>
        <v>92600</v>
      </c>
      <c r="G10" s="31">
        <f t="shared" si="34"/>
        <v>95400</v>
      </c>
      <c r="H10" s="31">
        <f t="shared" si="35"/>
        <v>98300</v>
      </c>
      <c r="I10" s="31">
        <f t="shared" si="36"/>
        <v>101300</v>
      </c>
      <c r="J10" s="31">
        <f t="shared" si="37"/>
        <v>104400</v>
      </c>
      <c r="K10" s="31">
        <f t="shared" si="38"/>
        <v>107600</v>
      </c>
      <c r="L10" s="31">
        <f t="shared" si="39"/>
        <v>110900</v>
      </c>
      <c r="N10" s="31">
        <f>+C10/$Z$5</f>
        <v>695.34246575342468</v>
      </c>
      <c r="O10" s="31">
        <f t="shared" si="40"/>
        <v>716.71232876712327</v>
      </c>
      <c r="P10" s="31">
        <f t="shared" si="41"/>
        <v>738.90410958904101</v>
      </c>
      <c r="Q10" s="31">
        <f t="shared" si="42"/>
        <v>761.09589041095887</v>
      </c>
      <c r="R10" s="31">
        <f t="shared" si="43"/>
        <v>784.10958904109589</v>
      </c>
      <c r="S10" s="31">
        <f t="shared" si="44"/>
        <v>807.94520547945206</v>
      </c>
      <c r="T10" s="31">
        <f t="shared" si="45"/>
        <v>832.60273972602738</v>
      </c>
      <c r="U10" s="31">
        <f t="shared" si="46"/>
        <v>858.08219178082186</v>
      </c>
      <c r="V10" s="31">
        <f t="shared" si="47"/>
        <v>884.38356164383561</v>
      </c>
      <c r="W10" s="31">
        <f t="shared" si="48"/>
        <v>911.50684931506851</v>
      </c>
    </row>
    <row r="11" spans="1:27" x14ac:dyDescent="0.2">
      <c r="A11" s="1" t="s">
        <v>794</v>
      </c>
      <c r="B11" s="54" t="str">
        <f>IFERROR(VLOOKUP(A11,Lister!$A$20:$B$21,2,FALSE),"")</f>
        <v/>
      </c>
      <c r="C11" s="237">
        <v>70200</v>
      </c>
      <c r="D11" s="35">
        <f t="shared" si="6"/>
        <v>72400</v>
      </c>
      <c r="E11" s="31">
        <f t="shared" si="6"/>
        <v>74600</v>
      </c>
      <c r="F11" s="31">
        <f t="shared" si="6"/>
        <v>76900</v>
      </c>
      <c r="G11" s="31">
        <f t="shared" si="6"/>
        <v>79300</v>
      </c>
      <c r="H11" s="31">
        <f t="shared" si="6"/>
        <v>81700</v>
      </c>
      <c r="I11" s="31">
        <f t="shared" si="6"/>
        <v>84200</v>
      </c>
      <c r="J11" s="31">
        <f t="shared" si="6"/>
        <v>86800</v>
      </c>
      <c r="K11" s="31">
        <f t="shared" si="7"/>
        <v>89500</v>
      </c>
      <c r="L11" s="31">
        <f t="shared" si="7"/>
        <v>92200</v>
      </c>
      <c r="N11" s="31">
        <f t="shared" si="8"/>
        <v>576.98630136986299</v>
      </c>
      <c r="O11" s="31">
        <f t="shared" si="9"/>
        <v>595.06849315068496</v>
      </c>
      <c r="P11" s="31">
        <f t="shared" si="10"/>
        <v>613.15068493150682</v>
      </c>
      <c r="Q11" s="31">
        <f t="shared" si="11"/>
        <v>632.05479452054794</v>
      </c>
      <c r="R11" s="31">
        <f t="shared" si="12"/>
        <v>651.78082191780823</v>
      </c>
      <c r="S11" s="31">
        <f t="shared" si="13"/>
        <v>671.50684931506851</v>
      </c>
      <c r="T11" s="31">
        <f t="shared" si="14"/>
        <v>692.05479452054794</v>
      </c>
      <c r="U11" s="31">
        <f t="shared" si="14"/>
        <v>713.42465753424653</v>
      </c>
      <c r="V11" s="31">
        <f t="shared" si="16"/>
        <v>735.61643835616439</v>
      </c>
      <c r="W11" s="31">
        <f t="shared" si="15"/>
        <v>757.80821917808214</v>
      </c>
    </row>
    <row r="12" spans="1:27" x14ac:dyDescent="0.2">
      <c r="A12" s="1" t="s">
        <v>795</v>
      </c>
      <c r="B12" s="54" t="str">
        <f>IFERROR(VLOOKUP(A12,Lister!$A$20:$B$21,2,FALSE),"")</f>
        <v/>
      </c>
      <c r="C12" s="237">
        <v>68000</v>
      </c>
      <c r="D12" s="35">
        <f t="shared" ref="D12" si="49">ROUNDUP(+C12*$Z$3,-2)</f>
        <v>70100</v>
      </c>
      <c r="E12" s="31">
        <f t="shared" ref="E12" si="50">ROUNDUP(+D12*$Z$3,-2)</f>
        <v>72300</v>
      </c>
      <c r="F12" s="31">
        <f t="shared" ref="F12" si="51">ROUNDUP(+E12*$Z$3,-2)</f>
        <v>74500</v>
      </c>
      <c r="G12" s="31">
        <f t="shared" ref="G12" si="52">ROUNDUP(+F12*$Z$3,-2)</f>
        <v>76800</v>
      </c>
      <c r="H12" s="31">
        <f t="shared" ref="H12" si="53">ROUNDUP(+G12*$Z$3,-2)</f>
        <v>79200</v>
      </c>
      <c r="I12" s="31">
        <f t="shared" ref="I12" si="54">ROUNDUP(+H12*$Z$3,-2)</f>
        <v>81600</v>
      </c>
      <c r="J12" s="31">
        <f t="shared" ref="J12" si="55">ROUNDUP(+I12*$Z$3,-2)</f>
        <v>84100</v>
      </c>
      <c r="K12" s="31">
        <f t="shared" si="7"/>
        <v>86700</v>
      </c>
      <c r="L12" s="31">
        <f t="shared" si="7"/>
        <v>89400</v>
      </c>
      <c r="N12" s="31">
        <f t="shared" ref="N12" si="56">+C12/$Z$5</f>
        <v>558.90410958904113</v>
      </c>
      <c r="O12" s="31">
        <f t="shared" ref="O12" si="57">+D12/$Z$5</f>
        <v>576.16438356164383</v>
      </c>
      <c r="P12" s="31">
        <f t="shared" ref="P12" si="58">+E12/$Z$5</f>
        <v>594.24657534246569</v>
      </c>
      <c r="Q12" s="31">
        <f t="shared" ref="Q12" si="59">+F12/$Z$5</f>
        <v>612.32876712328766</v>
      </c>
      <c r="R12" s="31">
        <f t="shared" ref="R12" si="60">+G12/$Z$5</f>
        <v>631.23287671232879</v>
      </c>
      <c r="S12" s="31">
        <f t="shared" ref="S12" si="61">+H12/$Z$5</f>
        <v>650.95890410958907</v>
      </c>
      <c r="T12" s="31">
        <f t="shared" ref="T12" si="62">+I12/$Z$5</f>
        <v>670.68493150684924</v>
      </c>
      <c r="U12" s="31">
        <f t="shared" ref="U12" si="63">+J12/$Z$5</f>
        <v>691.23287671232879</v>
      </c>
      <c r="V12" s="31">
        <f t="shared" si="16"/>
        <v>712.60273972602738</v>
      </c>
      <c r="W12" s="31">
        <f t="shared" si="15"/>
        <v>734.79452054794513</v>
      </c>
    </row>
    <row r="13" spans="1:27" x14ac:dyDescent="0.2">
      <c r="A13" s="1" t="s">
        <v>796</v>
      </c>
      <c r="B13" s="54" t="str">
        <f>IFERROR(VLOOKUP(A13,Lister!$A$20:$B$21,2,FALSE),"")</f>
        <v/>
      </c>
      <c r="C13" s="237">
        <v>70200</v>
      </c>
      <c r="D13" s="35">
        <f t="shared" ref="D13:D30" si="64">ROUNDUP(+C13*$Z$3,-2)</f>
        <v>72400</v>
      </c>
      <c r="E13" s="31">
        <f t="shared" ref="E13" si="65">ROUNDUP(+D13*$Z$3,-2)</f>
        <v>74600</v>
      </c>
      <c r="F13" s="31">
        <f t="shared" ref="F13" si="66">ROUNDUP(+E13*$Z$3,-2)</f>
        <v>76900</v>
      </c>
      <c r="G13" s="31">
        <f t="shared" ref="G13" si="67">ROUNDUP(+F13*$Z$3,-2)</f>
        <v>79300</v>
      </c>
      <c r="H13" s="31">
        <f t="shared" ref="H13" si="68">ROUNDUP(+G13*$Z$3,-2)</f>
        <v>81700</v>
      </c>
      <c r="I13" s="31">
        <f t="shared" ref="I13" si="69">ROUNDUP(+H13*$Z$3,-2)</f>
        <v>84200</v>
      </c>
      <c r="J13" s="31">
        <f t="shared" ref="J13" si="70">ROUNDUP(+I13*$Z$3,-2)</f>
        <v>86800</v>
      </c>
      <c r="K13" s="31">
        <f t="shared" si="7"/>
        <v>89500</v>
      </c>
      <c r="L13" s="31">
        <f t="shared" si="7"/>
        <v>92200</v>
      </c>
      <c r="N13" s="31">
        <f t="shared" ref="N13:N30" si="71">+C13/$Z$5</f>
        <v>576.98630136986299</v>
      </c>
      <c r="O13" s="31">
        <f t="shared" ref="O13" si="72">+D13/$Z$5</f>
        <v>595.06849315068496</v>
      </c>
      <c r="P13" s="31">
        <f t="shared" ref="P13" si="73">+E13/$Z$5</f>
        <v>613.15068493150682</v>
      </c>
      <c r="Q13" s="31">
        <f t="shared" ref="Q13" si="74">+F13/$Z$5</f>
        <v>632.05479452054794</v>
      </c>
      <c r="R13" s="31">
        <f t="shared" ref="R13" si="75">+G13/$Z$5</f>
        <v>651.78082191780823</v>
      </c>
      <c r="S13" s="31">
        <f t="shared" ref="S13" si="76">+H13/$Z$5</f>
        <v>671.50684931506851</v>
      </c>
      <c r="T13" s="31">
        <f t="shared" ref="T13" si="77">+I13/$Z$5</f>
        <v>692.05479452054794</v>
      </c>
      <c r="U13" s="31">
        <f t="shared" ref="U13" si="78">+J13/$Z$5</f>
        <v>713.42465753424653</v>
      </c>
      <c r="V13" s="31">
        <f t="shared" si="16"/>
        <v>735.61643835616439</v>
      </c>
      <c r="W13" s="31">
        <f t="shared" si="15"/>
        <v>757.80821917808214</v>
      </c>
    </row>
    <row r="14" spans="1:27" x14ac:dyDescent="0.2">
      <c r="A14" s="1" t="s">
        <v>797</v>
      </c>
      <c r="B14" s="54" t="str">
        <f>IFERROR(VLOOKUP(A14,Lister!$A$20:$B$21,2,FALSE),"")</f>
        <v/>
      </c>
      <c r="C14" s="237">
        <v>65000</v>
      </c>
      <c r="D14" s="35">
        <f t="shared" si="64"/>
        <v>67000</v>
      </c>
      <c r="E14" s="31">
        <f t="shared" si="6"/>
        <v>69100</v>
      </c>
      <c r="F14" s="31">
        <f t="shared" si="6"/>
        <v>71200</v>
      </c>
      <c r="G14" s="31">
        <f t="shared" si="6"/>
        <v>73400</v>
      </c>
      <c r="H14" s="31">
        <f t="shared" si="6"/>
        <v>75700</v>
      </c>
      <c r="I14" s="31">
        <f t="shared" si="6"/>
        <v>78000</v>
      </c>
      <c r="J14" s="31">
        <f t="shared" si="6"/>
        <v>80400</v>
      </c>
      <c r="K14" s="31">
        <f t="shared" si="7"/>
        <v>82900</v>
      </c>
      <c r="L14" s="31">
        <f t="shared" si="7"/>
        <v>85400</v>
      </c>
      <c r="N14" s="31">
        <f t="shared" si="71"/>
        <v>534.24657534246569</v>
      </c>
      <c r="O14" s="31">
        <f t="shared" si="9"/>
        <v>550.68493150684924</v>
      </c>
      <c r="P14" s="31">
        <f t="shared" si="10"/>
        <v>567.94520547945206</v>
      </c>
      <c r="Q14" s="31">
        <f t="shared" si="11"/>
        <v>585.20547945205476</v>
      </c>
      <c r="R14" s="31">
        <f t="shared" si="12"/>
        <v>603.28767123287673</v>
      </c>
      <c r="S14" s="31">
        <f t="shared" si="13"/>
        <v>622.19178082191775</v>
      </c>
      <c r="T14" s="31">
        <f t="shared" si="14"/>
        <v>641.09589041095887</v>
      </c>
      <c r="U14" s="31">
        <f t="shared" si="14"/>
        <v>660.82191780821915</v>
      </c>
      <c r="V14" s="31">
        <f t="shared" si="16"/>
        <v>681.36986301369859</v>
      </c>
      <c r="W14" s="31">
        <f t="shared" si="15"/>
        <v>701.91780821917803</v>
      </c>
    </row>
    <row r="15" spans="1:27" x14ac:dyDescent="0.2">
      <c r="A15" s="1" t="s">
        <v>798</v>
      </c>
      <c r="B15" s="54" t="str">
        <f>IFERROR(VLOOKUP(A15,Lister!$A$20:$B$21,2,FALSE),"")</f>
        <v/>
      </c>
      <c r="C15" s="237">
        <v>54700</v>
      </c>
      <c r="D15" s="35">
        <f t="shared" si="64"/>
        <v>56400</v>
      </c>
      <c r="E15" s="31">
        <f t="shared" si="6"/>
        <v>58100</v>
      </c>
      <c r="F15" s="31">
        <f t="shared" si="6"/>
        <v>59900</v>
      </c>
      <c r="G15" s="31">
        <f t="shared" si="6"/>
        <v>61700</v>
      </c>
      <c r="H15" s="31">
        <f t="shared" si="6"/>
        <v>63600</v>
      </c>
      <c r="I15" s="31">
        <f t="shared" si="6"/>
        <v>65600</v>
      </c>
      <c r="J15" s="31">
        <f t="shared" si="6"/>
        <v>67600</v>
      </c>
      <c r="K15" s="31">
        <f t="shared" si="7"/>
        <v>69700</v>
      </c>
      <c r="L15" s="31">
        <f t="shared" si="7"/>
        <v>71800</v>
      </c>
      <c r="N15" s="31">
        <f t="shared" si="71"/>
        <v>449.58904109589037</v>
      </c>
      <c r="O15" s="31">
        <f t="shared" si="9"/>
        <v>463.56164383561639</v>
      </c>
      <c r="P15" s="31">
        <f t="shared" si="10"/>
        <v>477.53424657534242</v>
      </c>
      <c r="Q15" s="31">
        <f t="shared" si="11"/>
        <v>492.32876712328766</v>
      </c>
      <c r="R15" s="31">
        <f t="shared" si="12"/>
        <v>507.12328767123284</v>
      </c>
      <c r="S15" s="31">
        <f t="shared" si="13"/>
        <v>522.7397260273973</v>
      </c>
      <c r="T15" s="31">
        <f t="shared" si="14"/>
        <v>539.17808219178085</v>
      </c>
      <c r="U15" s="31">
        <f t="shared" si="14"/>
        <v>555.61643835616439</v>
      </c>
      <c r="V15" s="31">
        <f t="shared" si="16"/>
        <v>572.8767123287671</v>
      </c>
      <c r="W15" s="31">
        <f t="shared" si="15"/>
        <v>590.1369863013698</v>
      </c>
    </row>
    <row r="16" spans="1:27" x14ac:dyDescent="0.2">
      <c r="A16" s="1" t="s">
        <v>223</v>
      </c>
      <c r="B16" s="54" t="str">
        <f>IFERROR(VLOOKUP(A16,Lister!$A$20:$B$21,2,FALSE),"")</f>
        <v/>
      </c>
      <c r="C16" s="237">
        <v>55800</v>
      </c>
      <c r="D16" s="35">
        <f t="shared" si="64"/>
        <v>57500</v>
      </c>
      <c r="E16" s="31">
        <f t="shared" si="6"/>
        <v>59300</v>
      </c>
      <c r="F16" s="31">
        <f t="shared" si="6"/>
        <v>61100</v>
      </c>
      <c r="G16" s="31">
        <f t="shared" si="6"/>
        <v>63000</v>
      </c>
      <c r="H16" s="31">
        <f t="shared" si="6"/>
        <v>64900</v>
      </c>
      <c r="I16" s="31">
        <f t="shared" si="6"/>
        <v>66900</v>
      </c>
      <c r="J16" s="31">
        <f t="shared" si="6"/>
        <v>69000</v>
      </c>
      <c r="K16" s="31">
        <f t="shared" si="7"/>
        <v>71100</v>
      </c>
      <c r="L16" s="31">
        <f t="shared" si="7"/>
        <v>73300</v>
      </c>
      <c r="N16" s="31">
        <f t="shared" si="71"/>
        <v>458.63013698630135</v>
      </c>
      <c r="O16" s="31">
        <f t="shared" si="9"/>
        <v>472.60273972602738</v>
      </c>
      <c r="P16" s="31">
        <f t="shared" si="10"/>
        <v>487.39726027397256</v>
      </c>
      <c r="Q16" s="31">
        <f t="shared" si="11"/>
        <v>502.1917808219178</v>
      </c>
      <c r="R16" s="31">
        <f t="shared" si="12"/>
        <v>517.80821917808214</v>
      </c>
      <c r="S16" s="31">
        <f t="shared" si="13"/>
        <v>533.42465753424653</v>
      </c>
      <c r="T16" s="31">
        <f t="shared" si="14"/>
        <v>549.86301369863008</v>
      </c>
      <c r="U16" s="31">
        <f t="shared" si="14"/>
        <v>567.1232876712329</v>
      </c>
      <c r="V16" s="31">
        <f t="shared" si="16"/>
        <v>584.38356164383561</v>
      </c>
      <c r="W16" s="31">
        <f t="shared" si="15"/>
        <v>602.46575342465746</v>
      </c>
    </row>
    <row r="17" spans="1:23" x14ac:dyDescent="0.2">
      <c r="A17" s="1" t="s">
        <v>226</v>
      </c>
      <c r="B17" s="54" t="str">
        <f>IFERROR(VLOOKUP(A17,Lister!$A$20:$B$21,2,FALSE),"")</f>
        <v/>
      </c>
      <c r="C17" s="237">
        <v>54700</v>
      </c>
      <c r="D17" s="35">
        <f t="shared" si="64"/>
        <v>56400</v>
      </c>
      <c r="E17" s="31">
        <f t="shared" si="6"/>
        <v>58100</v>
      </c>
      <c r="F17" s="31">
        <f t="shared" si="6"/>
        <v>59900</v>
      </c>
      <c r="G17" s="31">
        <f t="shared" si="6"/>
        <v>61700</v>
      </c>
      <c r="H17" s="31">
        <f t="shared" si="6"/>
        <v>63600</v>
      </c>
      <c r="I17" s="31">
        <f t="shared" si="6"/>
        <v>65600</v>
      </c>
      <c r="J17" s="31">
        <f t="shared" si="6"/>
        <v>67600</v>
      </c>
      <c r="K17" s="31">
        <f t="shared" si="7"/>
        <v>69700</v>
      </c>
      <c r="L17" s="31">
        <f t="shared" si="7"/>
        <v>71800</v>
      </c>
      <c r="N17" s="31">
        <f t="shared" si="71"/>
        <v>449.58904109589037</v>
      </c>
      <c r="O17" s="31">
        <f t="shared" si="9"/>
        <v>463.56164383561639</v>
      </c>
      <c r="P17" s="31">
        <f t="shared" si="10"/>
        <v>477.53424657534242</v>
      </c>
      <c r="Q17" s="31">
        <f t="shared" si="11"/>
        <v>492.32876712328766</v>
      </c>
      <c r="R17" s="31">
        <f t="shared" si="12"/>
        <v>507.12328767123284</v>
      </c>
      <c r="S17" s="31">
        <f t="shared" si="13"/>
        <v>522.7397260273973</v>
      </c>
      <c r="T17" s="31">
        <f t="shared" si="14"/>
        <v>539.17808219178085</v>
      </c>
      <c r="U17" s="31">
        <f t="shared" si="14"/>
        <v>555.61643835616439</v>
      </c>
      <c r="V17" s="31">
        <f t="shared" si="16"/>
        <v>572.8767123287671</v>
      </c>
      <c r="W17" s="31">
        <f t="shared" si="15"/>
        <v>590.1369863013698</v>
      </c>
    </row>
    <row r="18" spans="1:23" x14ac:dyDescent="0.2">
      <c r="A18" s="1" t="s">
        <v>1321</v>
      </c>
      <c r="B18" s="54" t="str">
        <f>IFERROR(VLOOKUP(A18,Lister!$A$20:$B$21,2,FALSE),"")</f>
        <v/>
      </c>
      <c r="C18" s="237">
        <v>52000</v>
      </c>
      <c r="D18" s="35">
        <f>ROUNDUP(+C18*$Z$3,-2)</f>
        <v>53600</v>
      </c>
      <c r="E18" s="31">
        <f t="shared" ref="E18" si="79">ROUNDUP(+D18*$Z$3,-2)</f>
        <v>55300</v>
      </c>
      <c r="F18" s="31">
        <f t="shared" ref="F18" si="80">ROUNDUP(+E18*$Z$3,-2)</f>
        <v>57000</v>
      </c>
      <c r="G18" s="31">
        <f t="shared" ref="G18" si="81">ROUNDUP(+F18*$Z$3,-2)</f>
        <v>58800</v>
      </c>
      <c r="H18" s="31">
        <f t="shared" ref="H18" si="82">ROUNDUP(+G18*$Z$3,-2)</f>
        <v>60600</v>
      </c>
      <c r="I18" s="31">
        <f t="shared" ref="I18" si="83">ROUNDUP(+H18*$Z$3,-2)</f>
        <v>62500</v>
      </c>
      <c r="J18" s="31">
        <f t="shared" ref="J18" si="84">ROUNDUP(+I18*$Z$3,-2)</f>
        <v>64400</v>
      </c>
      <c r="K18" s="31">
        <f t="shared" si="7"/>
        <v>66400</v>
      </c>
      <c r="L18" s="31">
        <f t="shared" si="7"/>
        <v>68400</v>
      </c>
      <c r="N18" s="31">
        <f t="shared" si="71"/>
        <v>427.39726027397256</v>
      </c>
      <c r="O18" s="31">
        <f t="shared" ref="O18" si="85">+D18/$Z$5</f>
        <v>440.54794520547944</v>
      </c>
      <c r="P18" s="31">
        <f t="shared" ref="P18" si="86">+E18/$Z$5</f>
        <v>454.52054794520546</v>
      </c>
      <c r="Q18" s="31">
        <f t="shared" ref="Q18" si="87">+F18/$Z$5</f>
        <v>468.49315068493149</v>
      </c>
      <c r="R18" s="31">
        <f t="shared" ref="R18" si="88">+G18/$Z$5</f>
        <v>483.28767123287668</v>
      </c>
      <c r="S18" s="31">
        <f t="shared" ref="S18" si="89">+H18/$Z$5</f>
        <v>498.08219178082192</v>
      </c>
      <c r="T18" s="31">
        <f t="shared" ref="T18" si="90">+I18/$Z$5</f>
        <v>513.69863013698625</v>
      </c>
      <c r="U18" s="31">
        <f t="shared" ref="U18" si="91">+J18/$Z$5</f>
        <v>529.31506849315065</v>
      </c>
      <c r="V18" s="31">
        <f t="shared" si="16"/>
        <v>545.7534246575342</v>
      </c>
      <c r="W18" s="31">
        <f t="shared" si="15"/>
        <v>562.19178082191775</v>
      </c>
    </row>
    <row r="19" spans="1:23" x14ac:dyDescent="0.2">
      <c r="A19" s="1" t="s">
        <v>1320</v>
      </c>
      <c r="B19" s="54" t="str">
        <f>IFERROR(VLOOKUP(A19,Lister!$A$20:$B$21,2,FALSE),"")</f>
        <v/>
      </c>
      <c r="C19" s="237">
        <f>427*121.666666666667</f>
        <v>51951.666666666672</v>
      </c>
      <c r="D19" s="35">
        <f>ROUNDUP(+C19*$Z$3,-2)</f>
        <v>53600</v>
      </c>
      <c r="E19" s="31">
        <f t="shared" ref="E19" si="92">ROUNDUP(+D19*$Z$3,-2)</f>
        <v>55300</v>
      </c>
      <c r="F19" s="31">
        <f t="shared" ref="F19" si="93">ROUNDUP(+E19*$Z$3,-2)</f>
        <v>57000</v>
      </c>
      <c r="G19" s="31">
        <f t="shared" ref="G19" si="94">ROUNDUP(+F19*$Z$3,-2)</f>
        <v>58800</v>
      </c>
      <c r="H19" s="31">
        <f t="shared" ref="H19" si="95">ROUNDUP(+G19*$Z$3,-2)</f>
        <v>60600</v>
      </c>
      <c r="I19" s="31">
        <f t="shared" ref="I19" si="96">ROUNDUP(+H19*$Z$3,-2)</f>
        <v>62500</v>
      </c>
      <c r="J19" s="31">
        <f t="shared" ref="J19" si="97">ROUNDUP(+I19*$Z$3,-2)</f>
        <v>64400</v>
      </c>
      <c r="K19" s="31">
        <f t="shared" ref="K19" si="98">ROUNDUP(+J19*$Z$3,-2)</f>
        <v>66400</v>
      </c>
      <c r="L19" s="31">
        <f t="shared" ref="L19" si="99">ROUNDUP(+K19*$Z$3,-2)</f>
        <v>68400</v>
      </c>
      <c r="N19" s="31">
        <f t="shared" ref="N19" si="100">+C19/$Z$5</f>
        <v>427</v>
      </c>
      <c r="O19" s="31">
        <f t="shared" ref="O19" si="101">+D19/$Z$5</f>
        <v>440.54794520547944</v>
      </c>
      <c r="P19" s="31">
        <f t="shared" ref="P19" si="102">+E19/$Z$5</f>
        <v>454.52054794520546</v>
      </c>
      <c r="Q19" s="31">
        <f t="shared" ref="Q19" si="103">+F19/$Z$5</f>
        <v>468.49315068493149</v>
      </c>
      <c r="R19" s="31">
        <f t="shared" ref="R19" si="104">+G19/$Z$5</f>
        <v>483.28767123287668</v>
      </c>
      <c r="S19" s="31">
        <f t="shared" ref="S19" si="105">+H19/$Z$5</f>
        <v>498.08219178082192</v>
      </c>
      <c r="T19" s="31">
        <f t="shared" ref="T19" si="106">+I19/$Z$5</f>
        <v>513.69863013698625</v>
      </c>
      <c r="U19" s="31">
        <f t="shared" ref="U19" si="107">+J19/$Z$5</f>
        <v>529.31506849315065</v>
      </c>
      <c r="V19" s="31">
        <f t="shared" ref="V19" si="108">+K19/$Z$5</f>
        <v>545.7534246575342</v>
      </c>
      <c r="W19" s="31">
        <f t="shared" ref="W19" si="109">+L19/$Z$5</f>
        <v>562.19178082191775</v>
      </c>
    </row>
    <row r="20" spans="1:23" x14ac:dyDescent="0.2">
      <c r="A20" s="1" t="s">
        <v>224</v>
      </c>
      <c r="B20" s="54" t="str">
        <f>IFERROR(VLOOKUP(A20,Lister!$A$20:$B$21,2,FALSE),"")</f>
        <v/>
      </c>
      <c r="C20" s="237">
        <v>46500</v>
      </c>
      <c r="D20" s="35">
        <f>ROUNDUP(+C20*$Z$3,-2)</f>
        <v>47900</v>
      </c>
      <c r="E20" s="31">
        <f t="shared" si="6"/>
        <v>49400</v>
      </c>
      <c r="F20" s="31">
        <f t="shared" si="6"/>
        <v>50900</v>
      </c>
      <c r="G20" s="31">
        <f t="shared" si="6"/>
        <v>52500</v>
      </c>
      <c r="H20" s="31">
        <f t="shared" si="6"/>
        <v>54100</v>
      </c>
      <c r="I20" s="31">
        <f t="shared" si="6"/>
        <v>55800</v>
      </c>
      <c r="J20" s="31">
        <f t="shared" si="6"/>
        <v>57500</v>
      </c>
      <c r="K20" s="31">
        <f t="shared" si="7"/>
        <v>59300</v>
      </c>
      <c r="L20" s="31">
        <f t="shared" si="7"/>
        <v>61100</v>
      </c>
      <c r="N20" s="31">
        <f t="shared" si="71"/>
        <v>382.1917808219178</v>
      </c>
      <c r="O20" s="31">
        <f>+D20/$Z$5</f>
        <v>393.69863013698631</v>
      </c>
      <c r="P20" s="31">
        <f t="shared" si="10"/>
        <v>406.02739726027397</v>
      </c>
      <c r="Q20" s="31">
        <f t="shared" si="11"/>
        <v>418.35616438356163</v>
      </c>
      <c r="R20" s="31">
        <f t="shared" si="12"/>
        <v>431.50684931506845</v>
      </c>
      <c r="S20" s="31">
        <f t="shared" si="13"/>
        <v>444.65753424657532</v>
      </c>
      <c r="T20" s="31">
        <f t="shared" si="14"/>
        <v>458.63013698630135</v>
      </c>
      <c r="U20" s="31">
        <f t="shared" si="14"/>
        <v>472.60273972602738</v>
      </c>
      <c r="V20" s="31">
        <f t="shared" si="16"/>
        <v>487.39726027397256</v>
      </c>
      <c r="W20" s="31">
        <f t="shared" si="15"/>
        <v>502.1917808219178</v>
      </c>
    </row>
    <row r="21" spans="1:23" x14ac:dyDescent="0.2">
      <c r="A21" s="1" t="s">
        <v>225</v>
      </c>
      <c r="B21" s="54" t="str">
        <f>IFERROR(VLOOKUP(A21,Lister!$A$20:$B$21,2,FALSE),"")</f>
        <v/>
      </c>
      <c r="C21" s="237">
        <v>42400</v>
      </c>
      <c r="D21" s="35">
        <f t="shared" si="64"/>
        <v>43700</v>
      </c>
      <c r="E21" s="31">
        <f t="shared" si="6"/>
        <v>45100</v>
      </c>
      <c r="F21" s="31">
        <f t="shared" si="6"/>
        <v>46500</v>
      </c>
      <c r="G21" s="31">
        <f t="shared" si="6"/>
        <v>47900</v>
      </c>
      <c r="H21" s="31">
        <f t="shared" si="6"/>
        <v>49400</v>
      </c>
      <c r="I21" s="31">
        <f t="shared" si="6"/>
        <v>50900</v>
      </c>
      <c r="J21" s="31">
        <f t="shared" si="6"/>
        <v>52500</v>
      </c>
      <c r="K21" s="31">
        <f t="shared" si="7"/>
        <v>54100</v>
      </c>
      <c r="L21" s="31">
        <f t="shared" si="7"/>
        <v>55800</v>
      </c>
      <c r="N21" s="31">
        <f t="shared" si="71"/>
        <v>348.49315068493149</v>
      </c>
      <c r="O21" s="31">
        <f t="shared" si="9"/>
        <v>359.17808219178079</v>
      </c>
      <c r="P21" s="31">
        <f t="shared" si="10"/>
        <v>370.6849315068493</v>
      </c>
      <c r="Q21" s="31">
        <f t="shared" si="11"/>
        <v>382.1917808219178</v>
      </c>
      <c r="R21" s="31">
        <f t="shared" si="12"/>
        <v>393.69863013698631</v>
      </c>
      <c r="S21" s="31">
        <f t="shared" si="13"/>
        <v>406.02739726027397</v>
      </c>
      <c r="T21" s="31">
        <f t="shared" si="14"/>
        <v>418.35616438356163</v>
      </c>
      <c r="U21" s="31">
        <f t="shared" si="14"/>
        <v>431.50684931506845</v>
      </c>
      <c r="V21" s="31">
        <f t="shared" si="16"/>
        <v>444.65753424657532</v>
      </c>
      <c r="W21" s="31">
        <f t="shared" si="15"/>
        <v>458.63013698630135</v>
      </c>
    </row>
    <row r="22" spans="1:23" x14ac:dyDescent="0.2">
      <c r="A22" s="1" t="s">
        <v>1322</v>
      </c>
      <c r="B22" s="54" t="str">
        <f>IFERROR(VLOOKUP(A22,Lister!$A$20:$B$21,2,FALSE),"")</f>
        <v>PhD</v>
      </c>
      <c r="C22" s="237">
        <v>44000</v>
      </c>
      <c r="D22" s="35">
        <f t="shared" si="64"/>
        <v>45400</v>
      </c>
      <c r="E22" s="31">
        <f t="shared" si="6"/>
        <v>46800</v>
      </c>
      <c r="F22" s="31">
        <f t="shared" si="6"/>
        <v>48300</v>
      </c>
      <c r="G22" s="31">
        <f t="shared" si="6"/>
        <v>49800</v>
      </c>
      <c r="H22" s="31">
        <f t="shared" si="6"/>
        <v>51300</v>
      </c>
      <c r="I22" s="31">
        <f t="shared" si="6"/>
        <v>52900</v>
      </c>
      <c r="J22" s="31">
        <f t="shared" si="6"/>
        <v>54500</v>
      </c>
      <c r="K22" s="31">
        <f t="shared" si="7"/>
        <v>56200</v>
      </c>
      <c r="L22" s="31">
        <f t="shared" si="7"/>
        <v>57900</v>
      </c>
      <c r="N22" s="31">
        <f>+C22/$Z$5</f>
        <v>361.64383561643837</v>
      </c>
      <c r="O22" s="31">
        <f t="shared" si="9"/>
        <v>373.15068493150682</v>
      </c>
      <c r="P22" s="31">
        <f t="shared" si="10"/>
        <v>384.65753424657532</v>
      </c>
      <c r="Q22" s="31">
        <f t="shared" si="11"/>
        <v>396.98630136986299</v>
      </c>
      <c r="R22" s="31">
        <f t="shared" si="12"/>
        <v>409.31506849315065</v>
      </c>
      <c r="S22" s="31">
        <f t="shared" si="13"/>
        <v>421.64383561643837</v>
      </c>
      <c r="T22" s="31">
        <f t="shared" si="14"/>
        <v>434.79452054794518</v>
      </c>
      <c r="U22" s="31">
        <f t="shared" si="14"/>
        <v>447.94520547945206</v>
      </c>
      <c r="V22" s="31">
        <f t="shared" si="16"/>
        <v>461.91780821917808</v>
      </c>
      <c r="W22" s="31">
        <f t="shared" si="15"/>
        <v>475.89041095890411</v>
      </c>
    </row>
    <row r="23" spans="1:23" x14ac:dyDescent="0.2">
      <c r="A23" s="1" t="s">
        <v>1323</v>
      </c>
      <c r="B23" s="54" t="str">
        <f>IFERROR(VLOOKUP(A23,Lister!$A$20:$B$21,2,FALSE),"")</f>
        <v>PhD</v>
      </c>
      <c r="C23" s="67">
        <v>41000</v>
      </c>
      <c r="D23" s="35">
        <f t="shared" si="64"/>
        <v>42300</v>
      </c>
      <c r="E23" s="31">
        <f t="shared" ref="E23:J30" si="110">ROUNDUP(+D23*$Z$3,-2)</f>
        <v>43600</v>
      </c>
      <c r="F23" s="31">
        <f t="shared" si="110"/>
        <v>45000</v>
      </c>
      <c r="G23" s="31">
        <f t="shared" si="110"/>
        <v>46400</v>
      </c>
      <c r="H23" s="31">
        <f t="shared" si="110"/>
        <v>47800</v>
      </c>
      <c r="I23" s="31">
        <f t="shared" si="110"/>
        <v>49300</v>
      </c>
      <c r="J23" s="31">
        <f t="shared" si="110"/>
        <v>50800</v>
      </c>
      <c r="K23" s="31">
        <f t="shared" si="7"/>
        <v>52400</v>
      </c>
      <c r="L23" s="31">
        <f t="shared" si="7"/>
        <v>54000</v>
      </c>
      <c r="N23" s="31">
        <f>+C23/$Z$5</f>
        <v>336.98630136986299</v>
      </c>
      <c r="O23" s="31">
        <f t="shared" si="9"/>
        <v>347.67123287671234</v>
      </c>
      <c r="P23" s="31">
        <f t="shared" si="10"/>
        <v>358.35616438356163</v>
      </c>
      <c r="Q23" s="31">
        <f t="shared" si="11"/>
        <v>369.86301369863014</v>
      </c>
      <c r="R23" s="31">
        <f t="shared" si="12"/>
        <v>381.36986301369859</v>
      </c>
      <c r="S23" s="31">
        <f t="shared" si="13"/>
        <v>392.8767123287671</v>
      </c>
      <c r="T23" s="31">
        <f t="shared" si="14"/>
        <v>405.20547945205476</v>
      </c>
      <c r="U23" s="31">
        <f t="shared" si="14"/>
        <v>417.53424657534242</v>
      </c>
      <c r="V23" s="31">
        <f t="shared" si="16"/>
        <v>430.6849315068493</v>
      </c>
      <c r="W23" s="31">
        <f t="shared" si="15"/>
        <v>443.83561643835617</v>
      </c>
    </row>
    <row r="24" spans="1:23" x14ac:dyDescent="0.2">
      <c r="B24" s="54" t="str">
        <f>IFERROR(VLOOKUP(A24,Lister!$A$20:$B$21,2,FALSE),"")</f>
        <v/>
      </c>
      <c r="C24" s="67"/>
      <c r="D24" s="35">
        <f t="shared" si="64"/>
        <v>0</v>
      </c>
      <c r="E24" s="31">
        <f t="shared" si="110"/>
        <v>0</v>
      </c>
      <c r="F24" s="31">
        <f t="shared" si="110"/>
        <v>0</v>
      </c>
      <c r="G24" s="31">
        <f t="shared" si="110"/>
        <v>0</v>
      </c>
      <c r="H24" s="31">
        <f t="shared" si="110"/>
        <v>0</v>
      </c>
      <c r="I24" s="31">
        <f t="shared" si="110"/>
        <v>0</v>
      </c>
      <c r="J24" s="31">
        <f t="shared" si="110"/>
        <v>0</v>
      </c>
      <c r="K24" s="31">
        <f t="shared" si="7"/>
        <v>0</v>
      </c>
      <c r="L24" s="31">
        <f t="shared" si="7"/>
        <v>0</v>
      </c>
      <c r="N24" s="31">
        <f t="shared" si="71"/>
        <v>0</v>
      </c>
      <c r="O24" s="31">
        <f t="shared" si="9"/>
        <v>0</v>
      </c>
      <c r="P24" s="31">
        <f t="shared" si="10"/>
        <v>0</v>
      </c>
      <c r="Q24" s="31">
        <f t="shared" si="11"/>
        <v>0</v>
      </c>
      <c r="R24" s="31">
        <f t="shared" si="12"/>
        <v>0</v>
      </c>
      <c r="S24" s="31">
        <f t="shared" si="13"/>
        <v>0</v>
      </c>
      <c r="T24" s="31">
        <f t="shared" si="14"/>
        <v>0</v>
      </c>
      <c r="U24" s="31">
        <f t="shared" si="14"/>
        <v>0</v>
      </c>
      <c r="V24" s="31">
        <f t="shared" si="16"/>
        <v>0</v>
      </c>
      <c r="W24" s="31">
        <f t="shared" si="15"/>
        <v>0</v>
      </c>
    </row>
    <row r="25" spans="1:23" x14ac:dyDescent="0.2">
      <c r="B25" s="54" t="str">
        <f>IFERROR(VLOOKUP(A25,Lister!$A$20:$B$21,2,FALSE),"")</f>
        <v/>
      </c>
      <c r="C25" s="67"/>
      <c r="D25" s="35">
        <f t="shared" si="64"/>
        <v>0</v>
      </c>
      <c r="E25" s="31">
        <f t="shared" si="110"/>
        <v>0</v>
      </c>
      <c r="F25" s="31">
        <f t="shared" si="110"/>
        <v>0</v>
      </c>
      <c r="G25" s="31">
        <f t="shared" si="110"/>
        <v>0</v>
      </c>
      <c r="H25" s="31">
        <f t="shared" si="110"/>
        <v>0</v>
      </c>
      <c r="I25" s="31">
        <f t="shared" si="110"/>
        <v>0</v>
      </c>
      <c r="J25" s="31">
        <f t="shared" si="110"/>
        <v>0</v>
      </c>
      <c r="K25" s="31">
        <f t="shared" si="7"/>
        <v>0</v>
      </c>
      <c r="L25" s="31">
        <f t="shared" si="7"/>
        <v>0</v>
      </c>
      <c r="N25" s="31">
        <f t="shared" si="71"/>
        <v>0</v>
      </c>
      <c r="O25" s="31">
        <f t="shared" si="9"/>
        <v>0</v>
      </c>
      <c r="P25" s="31">
        <f t="shared" si="10"/>
        <v>0</v>
      </c>
      <c r="Q25" s="31">
        <f t="shared" si="11"/>
        <v>0</v>
      </c>
      <c r="R25" s="31">
        <f t="shared" si="12"/>
        <v>0</v>
      </c>
      <c r="S25" s="31">
        <f t="shared" si="13"/>
        <v>0</v>
      </c>
      <c r="T25" s="31">
        <f t="shared" si="14"/>
        <v>0</v>
      </c>
      <c r="U25" s="31">
        <f t="shared" si="14"/>
        <v>0</v>
      </c>
      <c r="V25" s="31">
        <f t="shared" si="16"/>
        <v>0</v>
      </c>
      <c r="W25" s="31">
        <f t="shared" si="15"/>
        <v>0</v>
      </c>
    </row>
    <row r="26" spans="1:23" x14ac:dyDescent="0.2">
      <c r="B26" s="54" t="str">
        <f>IFERROR(VLOOKUP(A26,Lister!$A$20:$B$21,2,FALSE),"")</f>
        <v/>
      </c>
      <c r="C26" s="67"/>
      <c r="D26" s="35">
        <f t="shared" si="64"/>
        <v>0</v>
      </c>
      <c r="E26" s="31">
        <f t="shared" si="110"/>
        <v>0</v>
      </c>
      <c r="F26" s="31">
        <f t="shared" si="110"/>
        <v>0</v>
      </c>
      <c r="G26" s="31">
        <f t="shared" si="110"/>
        <v>0</v>
      </c>
      <c r="H26" s="31">
        <f t="shared" si="110"/>
        <v>0</v>
      </c>
      <c r="I26" s="31">
        <f t="shared" si="110"/>
        <v>0</v>
      </c>
      <c r="J26" s="31">
        <f t="shared" si="110"/>
        <v>0</v>
      </c>
      <c r="K26" s="31">
        <f t="shared" si="7"/>
        <v>0</v>
      </c>
      <c r="L26" s="31">
        <f t="shared" si="7"/>
        <v>0</v>
      </c>
      <c r="N26" s="31">
        <f t="shared" si="71"/>
        <v>0</v>
      </c>
      <c r="O26" s="31">
        <f t="shared" si="9"/>
        <v>0</v>
      </c>
      <c r="P26" s="31">
        <f t="shared" si="10"/>
        <v>0</v>
      </c>
      <c r="Q26" s="31">
        <f t="shared" si="11"/>
        <v>0</v>
      </c>
      <c r="R26" s="31">
        <f t="shared" si="12"/>
        <v>0</v>
      </c>
      <c r="S26" s="31">
        <f t="shared" si="13"/>
        <v>0</v>
      </c>
      <c r="T26" s="31">
        <f t="shared" si="14"/>
        <v>0</v>
      </c>
      <c r="U26" s="31">
        <f t="shared" si="14"/>
        <v>0</v>
      </c>
      <c r="V26" s="31">
        <f t="shared" si="16"/>
        <v>0</v>
      </c>
      <c r="W26" s="31">
        <f t="shared" si="15"/>
        <v>0</v>
      </c>
    </row>
    <row r="27" spans="1:23" x14ac:dyDescent="0.2">
      <c r="B27" s="54" t="str">
        <f>IFERROR(VLOOKUP(A27,Lister!$A$20:$B$21,2,FALSE),"")</f>
        <v/>
      </c>
      <c r="C27" s="67"/>
      <c r="D27" s="35">
        <f t="shared" si="64"/>
        <v>0</v>
      </c>
      <c r="E27" s="31">
        <f t="shared" si="110"/>
        <v>0</v>
      </c>
      <c r="F27" s="31">
        <f t="shared" si="110"/>
        <v>0</v>
      </c>
      <c r="G27" s="31">
        <f t="shared" si="110"/>
        <v>0</v>
      </c>
      <c r="H27" s="31">
        <f t="shared" si="110"/>
        <v>0</v>
      </c>
      <c r="I27" s="31">
        <f t="shared" si="110"/>
        <v>0</v>
      </c>
      <c r="J27" s="31">
        <f t="shared" si="110"/>
        <v>0</v>
      </c>
      <c r="K27" s="31">
        <f t="shared" si="7"/>
        <v>0</v>
      </c>
      <c r="L27" s="31">
        <f t="shared" si="7"/>
        <v>0</v>
      </c>
      <c r="N27" s="31">
        <f t="shared" si="71"/>
        <v>0</v>
      </c>
      <c r="O27" s="31">
        <f t="shared" si="9"/>
        <v>0</v>
      </c>
      <c r="P27" s="31">
        <f t="shared" si="10"/>
        <v>0</v>
      </c>
      <c r="Q27" s="31">
        <f t="shared" si="11"/>
        <v>0</v>
      </c>
      <c r="R27" s="31">
        <f t="shared" si="12"/>
        <v>0</v>
      </c>
      <c r="S27" s="31">
        <f t="shared" si="13"/>
        <v>0</v>
      </c>
      <c r="T27" s="31">
        <f t="shared" si="14"/>
        <v>0</v>
      </c>
      <c r="U27" s="31">
        <f t="shared" si="14"/>
        <v>0</v>
      </c>
      <c r="V27" s="31">
        <f t="shared" si="16"/>
        <v>0</v>
      </c>
      <c r="W27" s="31">
        <f t="shared" si="15"/>
        <v>0</v>
      </c>
    </row>
    <row r="28" spans="1:23" x14ac:dyDescent="0.2">
      <c r="B28" s="54" t="str">
        <f>IFERROR(VLOOKUP(A28,Lister!$A$20:$B$21,2,FALSE),"")</f>
        <v/>
      </c>
      <c r="C28" s="67"/>
      <c r="D28" s="35">
        <f t="shared" si="64"/>
        <v>0</v>
      </c>
      <c r="E28" s="31">
        <f t="shared" si="110"/>
        <v>0</v>
      </c>
      <c r="F28" s="31">
        <f t="shared" si="110"/>
        <v>0</v>
      </c>
      <c r="G28" s="31">
        <f t="shared" si="110"/>
        <v>0</v>
      </c>
      <c r="H28" s="31">
        <f t="shared" si="110"/>
        <v>0</v>
      </c>
      <c r="I28" s="31">
        <f t="shared" si="110"/>
        <v>0</v>
      </c>
      <c r="J28" s="31">
        <f t="shared" si="110"/>
        <v>0</v>
      </c>
      <c r="K28" s="31">
        <f t="shared" si="7"/>
        <v>0</v>
      </c>
      <c r="L28" s="31">
        <f t="shared" si="7"/>
        <v>0</v>
      </c>
      <c r="N28" s="31">
        <f t="shared" si="71"/>
        <v>0</v>
      </c>
      <c r="O28" s="31">
        <f t="shared" si="9"/>
        <v>0</v>
      </c>
      <c r="P28" s="31">
        <f t="shared" si="10"/>
        <v>0</v>
      </c>
      <c r="Q28" s="31">
        <f t="shared" si="11"/>
        <v>0</v>
      </c>
      <c r="R28" s="31">
        <f t="shared" si="12"/>
        <v>0</v>
      </c>
      <c r="S28" s="31">
        <f t="shared" si="13"/>
        <v>0</v>
      </c>
      <c r="T28" s="31">
        <f t="shared" si="14"/>
        <v>0</v>
      </c>
      <c r="U28" s="31">
        <f t="shared" si="14"/>
        <v>0</v>
      </c>
      <c r="V28" s="31">
        <f t="shared" si="16"/>
        <v>0</v>
      </c>
      <c r="W28" s="31">
        <f t="shared" si="15"/>
        <v>0</v>
      </c>
    </row>
    <row r="29" spans="1:23" x14ac:dyDescent="0.2">
      <c r="B29" s="54" t="str">
        <f>IFERROR(VLOOKUP(A29,Lister!$A$20:$B$21,2,FALSE),"")</f>
        <v/>
      </c>
      <c r="C29" s="67"/>
      <c r="D29" s="35">
        <f t="shared" si="64"/>
        <v>0</v>
      </c>
      <c r="E29" s="31">
        <f t="shared" si="110"/>
        <v>0</v>
      </c>
      <c r="F29" s="31">
        <f t="shared" si="110"/>
        <v>0</v>
      </c>
      <c r="G29" s="31">
        <f t="shared" si="110"/>
        <v>0</v>
      </c>
      <c r="H29" s="31">
        <f t="shared" si="110"/>
        <v>0</v>
      </c>
      <c r="I29" s="31">
        <f t="shared" si="110"/>
        <v>0</v>
      </c>
      <c r="J29" s="31">
        <f t="shared" si="110"/>
        <v>0</v>
      </c>
      <c r="K29" s="31">
        <f t="shared" si="7"/>
        <v>0</v>
      </c>
      <c r="L29" s="31">
        <f t="shared" si="7"/>
        <v>0</v>
      </c>
      <c r="N29" s="31">
        <f t="shared" si="71"/>
        <v>0</v>
      </c>
      <c r="O29" s="31">
        <f t="shared" si="9"/>
        <v>0</v>
      </c>
      <c r="P29" s="31">
        <f t="shared" si="10"/>
        <v>0</v>
      </c>
      <c r="Q29" s="31">
        <f t="shared" si="11"/>
        <v>0</v>
      </c>
      <c r="R29" s="31">
        <f t="shared" si="12"/>
        <v>0</v>
      </c>
      <c r="S29" s="31">
        <f t="shared" si="13"/>
        <v>0</v>
      </c>
      <c r="T29" s="31">
        <f t="shared" si="14"/>
        <v>0</v>
      </c>
      <c r="U29" s="31">
        <f t="shared" si="14"/>
        <v>0</v>
      </c>
      <c r="V29" s="31">
        <f t="shared" si="16"/>
        <v>0</v>
      </c>
      <c r="W29" s="31">
        <f t="shared" si="15"/>
        <v>0</v>
      </c>
    </row>
    <row r="30" spans="1:23" x14ac:dyDescent="0.2">
      <c r="B30" s="54" t="str">
        <f>IFERROR(VLOOKUP(A30,Lister!$A$20:$B$21,2,FALSE),"")</f>
        <v/>
      </c>
      <c r="C30" s="67"/>
      <c r="D30" s="35">
        <f t="shared" si="64"/>
        <v>0</v>
      </c>
      <c r="E30" s="31">
        <f t="shared" si="110"/>
        <v>0</v>
      </c>
      <c r="F30" s="31">
        <f t="shared" si="110"/>
        <v>0</v>
      </c>
      <c r="G30" s="31">
        <f t="shared" si="110"/>
        <v>0</v>
      </c>
      <c r="H30" s="31">
        <f t="shared" si="110"/>
        <v>0</v>
      </c>
      <c r="I30" s="31">
        <f t="shared" si="110"/>
        <v>0</v>
      </c>
      <c r="J30" s="31">
        <f t="shared" si="110"/>
        <v>0</v>
      </c>
      <c r="K30" s="31">
        <f t="shared" si="7"/>
        <v>0</v>
      </c>
      <c r="L30" s="31">
        <f t="shared" si="7"/>
        <v>0</v>
      </c>
      <c r="N30" s="31">
        <f t="shared" si="71"/>
        <v>0</v>
      </c>
      <c r="O30" s="31">
        <f t="shared" si="9"/>
        <v>0</v>
      </c>
      <c r="P30" s="31">
        <f t="shared" si="10"/>
        <v>0</v>
      </c>
      <c r="Q30" s="31">
        <f t="shared" si="11"/>
        <v>0</v>
      </c>
      <c r="R30" s="31">
        <f t="shared" si="12"/>
        <v>0</v>
      </c>
      <c r="S30" s="31">
        <f t="shared" si="13"/>
        <v>0</v>
      </c>
      <c r="T30" s="31">
        <f t="shared" si="14"/>
        <v>0</v>
      </c>
      <c r="U30" s="31">
        <f t="shared" si="14"/>
        <v>0</v>
      </c>
      <c r="V30" s="31">
        <f t="shared" si="16"/>
        <v>0</v>
      </c>
      <c r="W30" s="31">
        <f t="shared" si="15"/>
        <v>0</v>
      </c>
    </row>
    <row r="32" spans="1:23" ht="15" x14ac:dyDescent="0.25">
      <c r="A32" s="2" t="s">
        <v>8</v>
      </c>
      <c r="B32" s="2" t="s">
        <v>19</v>
      </c>
      <c r="C32" s="2" t="s">
        <v>97</v>
      </c>
      <c r="D32" s="42" t="s">
        <v>110</v>
      </c>
    </row>
    <row r="33" spans="1:24" x14ac:dyDescent="0.2">
      <c r="A33" s="1" t="s">
        <v>1314</v>
      </c>
    </row>
    <row r="34" spans="1:24" x14ac:dyDescent="0.2">
      <c r="A34" s="1" t="s">
        <v>39</v>
      </c>
      <c r="B34" s="54" t="str">
        <f>IF(A34=Lister!$A$24,"TAP/Other masters Degree",IF(A34=Lister!$A$25,"Laboratory technician",IF(A34=Lister!$A$26,"Laboratory technician",IF(A34=Lister!$A$27,"Technician",IF(A34=Lister!$A$28,"Technician","")))))</f>
        <v/>
      </c>
      <c r="C34" s="237">
        <v>22500</v>
      </c>
      <c r="D34" s="38">
        <f t="shared" ref="D34:D51" si="111">ROUNDUP(+C34*$Z$3,-2)</f>
        <v>23200</v>
      </c>
      <c r="E34" s="39">
        <f t="shared" ref="E34:J38" si="112">ROUNDUP(+D34*$Z$3,-2)</f>
        <v>23900</v>
      </c>
      <c r="F34" s="39">
        <f t="shared" si="112"/>
        <v>24700</v>
      </c>
      <c r="G34" s="39">
        <f t="shared" si="112"/>
        <v>25500</v>
      </c>
      <c r="H34" s="39">
        <f t="shared" si="112"/>
        <v>26300</v>
      </c>
      <c r="I34" s="39">
        <f t="shared" si="112"/>
        <v>27100</v>
      </c>
      <c r="J34" s="39">
        <f t="shared" si="112"/>
        <v>28000</v>
      </c>
      <c r="K34" s="39">
        <f t="shared" ref="K34:K51" si="113">ROUNDUP(+J34*$Z$3,-2)</f>
        <v>28900</v>
      </c>
      <c r="L34" s="39">
        <f t="shared" ref="L34:L51" si="114">ROUNDUP(+K34*$Z$3,-2)</f>
        <v>29800</v>
      </c>
      <c r="N34" s="39">
        <f t="shared" ref="N34:N51" si="115">+C34/$Z$5</f>
        <v>184.93150684931507</v>
      </c>
      <c r="O34" s="39">
        <f t="shared" ref="O34:O51" si="116">+D34/$Z$5</f>
        <v>190.6849315068493</v>
      </c>
      <c r="P34" s="39">
        <f t="shared" ref="P34:P51" si="117">+E34/$Z$5</f>
        <v>196.43835616438355</v>
      </c>
      <c r="Q34" s="39">
        <f t="shared" ref="Q34:Q51" si="118">+F34/$Z$5</f>
        <v>203.01369863013699</v>
      </c>
      <c r="R34" s="39">
        <f t="shared" ref="R34:R51" si="119">+G34/$Z$5</f>
        <v>209.58904109589039</v>
      </c>
      <c r="S34" s="39">
        <f t="shared" ref="S34:S51" si="120">+H34/$Z$5</f>
        <v>216.16438356164383</v>
      </c>
      <c r="T34" s="39">
        <f t="shared" ref="T34:U51" si="121">+I34/$Z$5</f>
        <v>222.73972602739724</v>
      </c>
      <c r="U34" s="39">
        <f t="shared" si="121"/>
        <v>230.13698630136986</v>
      </c>
      <c r="V34" s="39">
        <f t="shared" ref="V34:V51" si="122">+K34/$Z$5</f>
        <v>237.53424657534245</v>
      </c>
      <c r="W34" s="39">
        <f t="shared" ref="W34:W51" si="123">+L34/$Z$5</f>
        <v>244.93150684931507</v>
      </c>
      <c r="X34" s="42"/>
    </row>
    <row r="35" spans="1:24" x14ac:dyDescent="0.2">
      <c r="A35" s="1" t="s">
        <v>40</v>
      </c>
      <c r="B35" s="54" t="str">
        <f>IF(A35=Lister!$A$24,"TAP/Other masters Degree",IF(A35=Lister!$A$25,"Laboratory technician",IF(A35=Lister!$A$26,"Laboratory technician",IF(A35=Lister!$A$27,"Technician",IF(A35=Lister!$A$28,"Technician","")))))</f>
        <v>TAP/Other masters Degree</v>
      </c>
      <c r="C35" s="237">
        <v>57700</v>
      </c>
      <c r="D35" s="35">
        <f t="shared" si="111"/>
        <v>59500</v>
      </c>
      <c r="E35" s="31">
        <f t="shared" si="112"/>
        <v>61300</v>
      </c>
      <c r="F35" s="31">
        <f t="shared" si="112"/>
        <v>63200</v>
      </c>
      <c r="G35" s="31">
        <f t="shared" si="112"/>
        <v>65100</v>
      </c>
      <c r="H35" s="31">
        <f t="shared" si="112"/>
        <v>67100</v>
      </c>
      <c r="I35" s="31">
        <f t="shared" si="112"/>
        <v>69200</v>
      </c>
      <c r="J35" s="31">
        <f t="shared" si="112"/>
        <v>71300</v>
      </c>
      <c r="K35" s="31">
        <f t="shared" si="113"/>
        <v>73500</v>
      </c>
      <c r="L35" s="31">
        <f t="shared" si="114"/>
        <v>75800</v>
      </c>
      <c r="N35" s="31">
        <f t="shared" si="115"/>
        <v>474.24657534246575</v>
      </c>
      <c r="O35" s="31">
        <f t="shared" si="116"/>
        <v>489.04109589041093</v>
      </c>
      <c r="P35" s="31">
        <f t="shared" si="117"/>
        <v>503.83561643835617</v>
      </c>
      <c r="Q35" s="31">
        <f t="shared" si="118"/>
        <v>519.45205479452056</v>
      </c>
      <c r="R35" s="31">
        <f t="shared" si="119"/>
        <v>535.06849315068496</v>
      </c>
      <c r="S35" s="31">
        <f t="shared" si="120"/>
        <v>551.50684931506851</v>
      </c>
      <c r="T35" s="31">
        <f t="shared" si="121"/>
        <v>568.76712328767121</v>
      </c>
      <c r="U35" s="31">
        <f t="shared" si="121"/>
        <v>586.02739726027391</v>
      </c>
      <c r="V35" s="31">
        <f t="shared" si="122"/>
        <v>604.10958904109589</v>
      </c>
      <c r="W35" s="31">
        <f t="shared" si="123"/>
        <v>623.01369863013701</v>
      </c>
    </row>
    <row r="36" spans="1:24" x14ac:dyDescent="0.2">
      <c r="A36" s="1" t="s">
        <v>53</v>
      </c>
      <c r="B36" s="54" t="str">
        <f>IF(A36=Lister!$A$24,"TAP/Other masters Degree",IF(A36=Lister!$A$25,"Laboratory technician",IF(A36=Lister!$A$26,"Laboratory technician",IF(A36=Lister!$A$27,"Technician",IF(A36=Lister!$A$28,"Technician","")))))</f>
        <v/>
      </c>
      <c r="C36" s="237">
        <v>55800</v>
      </c>
      <c r="D36" s="35">
        <f t="shared" si="111"/>
        <v>57500</v>
      </c>
      <c r="E36" s="31">
        <f t="shared" si="112"/>
        <v>59300</v>
      </c>
      <c r="F36" s="31">
        <f t="shared" si="112"/>
        <v>61100</v>
      </c>
      <c r="G36" s="31">
        <f t="shared" si="112"/>
        <v>63000</v>
      </c>
      <c r="H36" s="31">
        <f t="shared" si="112"/>
        <v>64900</v>
      </c>
      <c r="I36" s="31">
        <f t="shared" si="112"/>
        <v>66900</v>
      </c>
      <c r="J36" s="31">
        <f t="shared" si="112"/>
        <v>69000</v>
      </c>
      <c r="K36" s="31">
        <f t="shared" si="113"/>
        <v>71100</v>
      </c>
      <c r="L36" s="31">
        <f t="shared" si="114"/>
        <v>73300</v>
      </c>
      <c r="N36" s="31">
        <f t="shared" si="115"/>
        <v>458.63013698630135</v>
      </c>
      <c r="O36" s="31">
        <f t="shared" si="116"/>
        <v>472.60273972602738</v>
      </c>
      <c r="P36" s="31">
        <f t="shared" si="117"/>
        <v>487.39726027397256</v>
      </c>
      <c r="Q36" s="31">
        <f t="shared" si="118"/>
        <v>502.1917808219178</v>
      </c>
      <c r="R36" s="31">
        <f t="shared" si="119"/>
        <v>517.80821917808214</v>
      </c>
      <c r="S36" s="31">
        <f t="shared" si="120"/>
        <v>533.42465753424653</v>
      </c>
      <c r="T36" s="31">
        <f t="shared" si="121"/>
        <v>549.86301369863008</v>
      </c>
      <c r="U36" s="31">
        <f t="shared" si="121"/>
        <v>567.1232876712329</v>
      </c>
      <c r="V36" s="31">
        <f t="shared" si="122"/>
        <v>584.38356164383561</v>
      </c>
      <c r="W36" s="31">
        <f t="shared" si="123"/>
        <v>602.46575342465746</v>
      </c>
    </row>
    <row r="37" spans="1:24" x14ac:dyDescent="0.2">
      <c r="A37" s="1" t="s">
        <v>227</v>
      </c>
      <c r="B37" s="54" t="str">
        <f>IF(A37=Lister!$A$24,"TAP/Other masters Degree",IF(A37=Lister!$A$25,"Laboratory technician",IF(A37=Lister!$A$26,"Laboratory technician",IF(A37=Lister!$A$27,"Technician",IF(A37=Lister!$A$28,"Technician","")))))</f>
        <v>Laboratory technician</v>
      </c>
      <c r="C37" s="237">
        <v>44300</v>
      </c>
      <c r="D37" s="35">
        <f t="shared" si="111"/>
        <v>45700</v>
      </c>
      <c r="E37" s="31">
        <f t="shared" si="112"/>
        <v>47100</v>
      </c>
      <c r="F37" s="31">
        <f t="shared" si="112"/>
        <v>48600</v>
      </c>
      <c r="G37" s="31">
        <f t="shared" si="112"/>
        <v>50100</v>
      </c>
      <c r="H37" s="31">
        <f t="shared" si="112"/>
        <v>51700</v>
      </c>
      <c r="I37" s="31">
        <f t="shared" si="112"/>
        <v>53300</v>
      </c>
      <c r="J37" s="31">
        <f t="shared" si="112"/>
        <v>54900</v>
      </c>
      <c r="K37" s="31">
        <f t="shared" si="113"/>
        <v>56600</v>
      </c>
      <c r="L37" s="31">
        <f t="shared" si="114"/>
        <v>58300</v>
      </c>
      <c r="N37" s="31">
        <f t="shared" si="115"/>
        <v>364.10958904109589</v>
      </c>
      <c r="O37" s="31">
        <f t="shared" si="116"/>
        <v>375.61643835616439</v>
      </c>
      <c r="P37" s="31">
        <f t="shared" si="117"/>
        <v>387.12328767123284</v>
      </c>
      <c r="Q37" s="31">
        <f t="shared" si="118"/>
        <v>399.45205479452051</v>
      </c>
      <c r="R37" s="31">
        <f t="shared" si="119"/>
        <v>411.78082191780823</v>
      </c>
      <c r="S37" s="31">
        <f t="shared" si="120"/>
        <v>424.93150684931504</v>
      </c>
      <c r="T37" s="31">
        <f t="shared" si="121"/>
        <v>438.08219178082192</v>
      </c>
      <c r="U37" s="31">
        <f t="shared" si="121"/>
        <v>451.23287671232873</v>
      </c>
      <c r="V37" s="31">
        <f t="shared" si="122"/>
        <v>465.20547945205476</v>
      </c>
      <c r="W37" s="31">
        <f t="shared" si="123"/>
        <v>479.17808219178079</v>
      </c>
    </row>
    <row r="38" spans="1:24" x14ac:dyDescent="0.2">
      <c r="A38" s="1" t="s">
        <v>228</v>
      </c>
      <c r="B38" s="54" t="str">
        <f>IF(A38=Lister!$A$24,"TAP/Other masters Degree",IF(A38=Lister!$A$25,"Laboratory technician",IF(A38=Lister!$A$26,"Laboratory technician",IF(A38=Lister!$A$27,"Technician",IF(A38=Lister!$A$28,"Technician","")))))</f>
        <v>Laboratory technician</v>
      </c>
      <c r="C38" s="237">
        <v>41400</v>
      </c>
      <c r="D38" s="35">
        <f t="shared" si="111"/>
        <v>42700</v>
      </c>
      <c r="E38" s="31">
        <f t="shared" si="112"/>
        <v>44000</v>
      </c>
      <c r="F38" s="31">
        <f t="shared" si="112"/>
        <v>45400</v>
      </c>
      <c r="G38" s="31">
        <f t="shared" si="112"/>
        <v>46800</v>
      </c>
      <c r="H38" s="31">
        <f t="shared" si="112"/>
        <v>48300</v>
      </c>
      <c r="I38" s="31">
        <f t="shared" si="112"/>
        <v>49800</v>
      </c>
      <c r="J38" s="31">
        <f t="shared" si="112"/>
        <v>51300</v>
      </c>
      <c r="K38" s="31">
        <f t="shared" si="113"/>
        <v>52900</v>
      </c>
      <c r="L38" s="31">
        <f t="shared" si="114"/>
        <v>54500</v>
      </c>
      <c r="N38" s="31">
        <f t="shared" si="115"/>
        <v>340.27397260273972</v>
      </c>
      <c r="O38" s="31">
        <f t="shared" si="116"/>
        <v>350.95890410958901</v>
      </c>
      <c r="P38" s="31">
        <f t="shared" si="117"/>
        <v>361.64383561643837</v>
      </c>
      <c r="Q38" s="31">
        <f t="shared" si="118"/>
        <v>373.15068493150682</v>
      </c>
      <c r="R38" s="31">
        <f t="shared" si="119"/>
        <v>384.65753424657532</v>
      </c>
      <c r="S38" s="31">
        <f t="shared" si="120"/>
        <v>396.98630136986299</v>
      </c>
      <c r="T38" s="31">
        <f t="shared" si="121"/>
        <v>409.31506849315065</v>
      </c>
      <c r="U38" s="31">
        <f t="shared" si="121"/>
        <v>421.64383561643837</v>
      </c>
      <c r="V38" s="31">
        <f t="shared" si="122"/>
        <v>434.79452054794518</v>
      </c>
      <c r="W38" s="31">
        <f t="shared" si="123"/>
        <v>447.94520547945206</v>
      </c>
    </row>
    <row r="39" spans="1:24" x14ac:dyDescent="0.2">
      <c r="A39" s="1" t="s">
        <v>229</v>
      </c>
      <c r="B39" s="54" t="str">
        <f>IF(A39=Lister!$A$24,"TAP/Other masters Degree",IF(A39=Lister!$A$25,"Laboratory technician",IF(A39=Lister!$A$26,"Laboratory technician",IF(A39=Lister!$A$27,"Technician",IF(A39=Lister!$A$28,"Technician","")))))</f>
        <v>Technician</v>
      </c>
      <c r="C39" s="237">
        <v>49600</v>
      </c>
      <c r="D39" s="35">
        <f t="shared" si="111"/>
        <v>51100</v>
      </c>
      <c r="E39" s="31">
        <f t="shared" ref="E39:J41" si="124">ROUNDUP(+D39*$Z$3,-2)</f>
        <v>52700</v>
      </c>
      <c r="F39" s="31">
        <f t="shared" si="124"/>
        <v>54300</v>
      </c>
      <c r="G39" s="31">
        <f t="shared" si="124"/>
        <v>56000</v>
      </c>
      <c r="H39" s="31">
        <f t="shared" si="124"/>
        <v>57700</v>
      </c>
      <c r="I39" s="31">
        <f t="shared" si="124"/>
        <v>59500</v>
      </c>
      <c r="J39" s="31">
        <f t="shared" si="124"/>
        <v>61300</v>
      </c>
      <c r="K39" s="31">
        <f t="shared" si="113"/>
        <v>63200</v>
      </c>
      <c r="L39" s="31">
        <f t="shared" si="114"/>
        <v>65100</v>
      </c>
      <c r="N39" s="31">
        <f t="shared" si="115"/>
        <v>407.67123287671234</v>
      </c>
      <c r="O39" s="31">
        <f t="shared" si="116"/>
        <v>420</v>
      </c>
      <c r="P39" s="31">
        <f t="shared" si="117"/>
        <v>433.15068493150682</v>
      </c>
      <c r="Q39" s="31">
        <f t="shared" si="118"/>
        <v>446.30136986301369</v>
      </c>
      <c r="R39" s="31">
        <f t="shared" si="119"/>
        <v>460.27397260273972</v>
      </c>
      <c r="S39" s="31">
        <f t="shared" si="120"/>
        <v>474.24657534246575</v>
      </c>
      <c r="T39" s="31">
        <f t="shared" si="121"/>
        <v>489.04109589041093</v>
      </c>
      <c r="U39" s="31">
        <f t="shared" si="121"/>
        <v>503.83561643835617</v>
      </c>
      <c r="V39" s="31">
        <f t="shared" si="122"/>
        <v>519.45205479452056</v>
      </c>
      <c r="W39" s="31">
        <f t="shared" si="123"/>
        <v>535.06849315068496</v>
      </c>
    </row>
    <row r="40" spans="1:24" x14ac:dyDescent="0.2">
      <c r="A40" s="1" t="s">
        <v>230</v>
      </c>
      <c r="B40" s="54" t="str">
        <f>IF(A40=Lister!$A$24,"TAP/Other masters Degree",IF(A40=Lister!$A$25,"Laboratory technician",IF(A40=Lister!$A$26,"Laboratory technician",IF(A40=Lister!$A$27,"Technician",IF(A40=Lister!$A$28,"Technician","")))))</f>
        <v>Technician</v>
      </c>
      <c r="C40" s="237">
        <v>46500</v>
      </c>
      <c r="D40" s="35">
        <f t="shared" si="111"/>
        <v>47900</v>
      </c>
      <c r="E40" s="31">
        <f t="shared" si="124"/>
        <v>49400</v>
      </c>
      <c r="F40" s="31">
        <f t="shared" si="124"/>
        <v>50900</v>
      </c>
      <c r="G40" s="31">
        <f t="shared" si="124"/>
        <v>52500</v>
      </c>
      <c r="H40" s="31">
        <f t="shared" si="124"/>
        <v>54100</v>
      </c>
      <c r="I40" s="31">
        <f t="shared" si="124"/>
        <v>55800</v>
      </c>
      <c r="J40" s="31">
        <f t="shared" si="124"/>
        <v>57500</v>
      </c>
      <c r="K40" s="31">
        <f t="shared" si="113"/>
        <v>59300</v>
      </c>
      <c r="L40" s="31">
        <f t="shared" si="114"/>
        <v>61100</v>
      </c>
      <c r="N40" s="31">
        <f t="shared" si="115"/>
        <v>382.1917808219178</v>
      </c>
      <c r="O40" s="31">
        <f t="shared" si="116"/>
        <v>393.69863013698631</v>
      </c>
      <c r="P40" s="31">
        <f t="shared" si="117"/>
        <v>406.02739726027397</v>
      </c>
      <c r="Q40" s="31">
        <f t="shared" si="118"/>
        <v>418.35616438356163</v>
      </c>
      <c r="R40" s="31">
        <f t="shared" si="119"/>
        <v>431.50684931506845</v>
      </c>
      <c r="S40" s="31">
        <f t="shared" si="120"/>
        <v>444.65753424657532</v>
      </c>
      <c r="T40" s="31">
        <f t="shared" si="121"/>
        <v>458.63013698630135</v>
      </c>
      <c r="U40" s="31">
        <f t="shared" si="121"/>
        <v>472.60273972602738</v>
      </c>
      <c r="V40" s="31">
        <f t="shared" si="122"/>
        <v>487.39726027397256</v>
      </c>
      <c r="W40" s="31">
        <f t="shared" si="123"/>
        <v>502.1917808219178</v>
      </c>
    </row>
    <row r="41" spans="1:24" x14ac:dyDescent="0.2">
      <c r="A41" s="1" t="s">
        <v>231</v>
      </c>
      <c r="B41" s="54" t="str">
        <f>IF(A41=Lister!$A$24,"TAP/Other masters Degree",IF(A41=Lister!$A$25,"Laboratory technician",IF(A41=Lister!$A$26,"Laboratory technician",IF(A41=Lister!$A$27,"Technician",IF(A41=Lister!$A$28,"Technician","")))))</f>
        <v/>
      </c>
      <c r="C41" s="237">
        <v>47000</v>
      </c>
      <c r="D41" s="35">
        <f t="shared" si="111"/>
        <v>48500</v>
      </c>
      <c r="E41" s="31">
        <f t="shared" si="124"/>
        <v>50000</v>
      </c>
      <c r="F41" s="31">
        <f t="shared" si="124"/>
        <v>51500</v>
      </c>
      <c r="G41" s="31">
        <f t="shared" si="124"/>
        <v>53100</v>
      </c>
      <c r="H41" s="31">
        <f t="shared" si="124"/>
        <v>54700</v>
      </c>
      <c r="I41" s="31">
        <f t="shared" si="124"/>
        <v>56400</v>
      </c>
      <c r="J41" s="31">
        <f t="shared" si="124"/>
        <v>58100</v>
      </c>
      <c r="K41" s="31">
        <f t="shared" si="113"/>
        <v>59900</v>
      </c>
      <c r="L41" s="31">
        <f t="shared" si="114"/>
        <v>61700</v>
      </c>
      <c r="N41" s="31">
        <f t="shared" si="115"/>
        <v>386.30136986301369</v>
      </c>
      <c r="O41" s="31">
        <f t="shared" si="116"/>
        <v>398.63013698630135</v>
      </c>
      <c r="P41" s="31">
        <f t="shared" si="117"/>
        <v>410.95890410958901</v>
      </c>
      <c r="Q41" s="31">
        <f t="shared" si="118"/>
        <v>423.28767123287668</v>
      </c>
      <c r="R41" s="31">
        <f t="shared" si="119"/>
        <v>436.43835616438355</v>
      </c>
      <c r="S41" s="31">
        <f t="shared" si="120"/>
        <v>449.58904109589037</v>
      </c>
      <c r="T41" s="31">
        <f t="shared" si="121"/>
        <v>463.56164383561639</v>
      </c>
      <c r="U41" s="31">
        <f t="shared" si="121"/>
        <v>477.53424657534242</v>
      </c>
      <c r="V41" s="31">
        <f t="shared" si="122"/>
        <v>492.32876712328766</v>
      </c>
      <c r="W41" s="31">
        <f t="shared" si="123"/>
        <v>507.12328767123284</v>
      </c>
    </row>
    <row r="42" spans="1:24" x14ac:dyDescent="0.2">
      <c r="A42" s="1" t="s">
        <v>771</v>
      </c>
      <c r="B42" s="54" t="str">
        <f>IF(A42=Lister!$A$24,"TAP/Øvrig kandidatuddannelse",IF(A42=Lister!$A$25,"Laborant",IF(A42=Lister!$A$26,"Laborant",IF(A42=Lister!$A$27,"Tekniker",IF(A42=Lister!$A$28,"Tekniker","")))))</f>
        <v/>
      </c>
      <c r="C42" s="67">
        <v>43000</v>
      </c>
      <c r="D42" s="35">
        <f t="shared" si="111"/>
        <v>44300</v>
      </c>
      <c r="E42" s="31">
        <f t="shared" ref="E42:J43" si="125">ROUNDUP(+D42*$Z$3,-2)</f>
        <v>45700</v>
      </c>
      <c r="F42" s="31">
        <f t="shared" si="125"/>
        <v>47100</v>
      </c>
      <c r="G42" s="31">
        <f t="shared" si="125"/>
        <v>48600</v>
      </c>
      <c r="H42" s="31">
        <f t="shared" si="125"/>
        <v>50100</v>
      </c>
      <c r="I42" s="31">
        <f t="shared" si="125"/>
        <v>51700</v>
      </c>
      <c r="J42" s="31">
        <f t="shared" si="125"/>
        <v>53300</v>
      </c>
      <c r="K42" s="31">
        <f t="shared" si="113"/>
        <v>54900</v>
      </c>
      <c r="L42" s="31">
        <f t="shared" si="114"/>
        <v>56600</v>
      </c>
      <c r="N42" s="31">
        <f t="shared" si="115"/>
        <v>353.42465753424653</v>
      </c>
      <c r="O42" s="31">
        <f t="shared" si="116"/>
        <v>364.10958904109589</v>
      </c>
      <c r="P42" s="31">
        <f t="shared" si="117"/>
        <v>375.61643835616439</v>
      </c>
      <c r="Q42" s="31">
        <f t="shared" si="118"/>
        <v>387.12328767123284</v>
      </c>
      <c r="R42" s="31">
        <f t="shared" si="119"/>
        <v>399.45205479452051</v>
      </c>
      <c r="S42" s="31">
        <f t="shared" si="120"/>
        <v>411.78082191780823</v>
      </c>
      <c r="T42" s="31">
        <f t="shared" si="121"/>
        <v>424.93150684931504</v>
      </c>
      <c r="U42" s="31">
        <f t="shared" si="121"/>
        <v>438.08219178082192</v>
      </c>
      <c r="V42" s="31">
        <f t="shared" si="122"/>
        <v>451.23287671232873</v>
      </c>
      <c r="W42" s="31">
        <f t="shared" si="123"/>
        <v>465.20547945205476</v>
      </c>
    </row>
    <row r="43" spans="1:24" x14ac:dyDescent="0.2">
      <c r="B43" s="54" t="str">
        <f>IF(A43=Lister!$A$24,"TAP/Øvrig kandidatuddannelse",IF(A43=Lister!$A$25,"Laborant",IF(A43=Lister!$A$26,"Laborant",IF(A43=Lister!$A$27,"Tekniker",IF(A43=Lister!$A$28,"Tekniker","")))))</f>
        <v/>
      </c>
      <c r="C43" s="67"/>
      <c r="D43" s="35">
        <f t="shared" si="111"/>
        <v>0</v>
      </c>
      <c r="E43" s="31">
        <f t="shared" si="125"/>
        <v>0</v>
      </c>
      <c r="F43" s="31">
        <f t="shared" si="125"/>
        <v>0</v>
      </c>
      <c r="G43" s="31">
        <f t="shared" si="125"/>
        <v>0</v>
      </c>
      <c r="H43" s="31">
        <f t="shared" si="125"/>
        <v>0</v>
      </c>
      <c r="I43" s="31">
        <f t="shared" si="125"/>
        <v>0</v>
      </c>
      <c r="J43" s="31">
        <f t="shared" si="125"/>
        <v>0</v>
      </c>
      <c r="K43" s="31">
        <f t="shared" si="113"/>
        <v>0</v>
      </c>
      <c r="L43" s="31">
        <f t="shared" si="114"/>
        <v>0</v>
      </c>
      <c r="N43" s="31">
        <f t="shared" si="115"/>
        <v>0</v>
      </c>
      <c r="O43" s="31">
        <f t="shared" si="116"/>
        <v>0</v>
      </c>
      <c r="P43" s="31">
        <f t="shared" si="117"/>
        <v>0</v>
      </c>
      <c r="Q43" s="31">
        <f t="shared" si="118"/>
        <v>0</v>
      </c>
      <c r="R43" s="31">
        <f t="shared" si="119"/>
        <v>0</v>
      </c>
      <c r="S43" s="31">
        <f t="shared" si="120"/>
        <v>0</v>
      </c>
      <c r="T43" s="31">
        <f t="shared" si="121"/>
        <v>0</v>
      </c>
      <c r="U43" s="31">
        <f t="shared" si="121"/>
        <v>0</v>
      </c>
      <c r="V43" s="31">
        <f t="shared" si="122"/>
        <v>0</v>
      </c>
      <c r="W43" s="31">
        <f t="shared" si="123"/>
        <v>0</v>
      </c>
    </row>
    <row r="44" spans="1:24" x14ac:dyDescent="0.2">
      <c r="B44" s="54" t="str">
        <f>IF(A44=Lister!$A$24,"TAP/Øvrig kandidatuddannelse",IF(A44=Lister!$A$25,"Laborant",IF(A44=Lister!$A$26,"Laborant",IF(A44=Lister!$A$27,"Tekniker",IF(A44=Lister!$A$28,"Tekniker","")))))</f>
        <v/>
      </c>
      <c r="C44" s="67"/>
      <c r="D44" s="35">
        <f t="shared" si="111"/>
        <v>0</v>
      </c>
      <c r="E44" s="31">
        <f t="shared" ref="E44:J45" si="126">ROUNDUP(+D44*$Z$3,-2)</f>
        <v>0</v>
      </c>
      <c r="F44" s="31">
        <f t="shared" si="126"/>
        <v>0</v>
      </c>
      <c r="G44" s="31">
        <f t="shared" si="126"/>
        <v>0</v>
      </c>
      <c r="H44" s="31">
        <f t="shared" si="126"/>
        <v>0</v>
      </c>
      <c r="I44" s="31">
        <f t="shared" si="126"/>
        <v>0</v>
      </c>
      <c r="J44" s="31">
        <f t="shared" si="126"/>
        <v>0</v>
      </c>
      <c r="K44" s="31">
        <f t="shared" si="113"/>
        <v>0</v>
      </c>
      <c r="L44" s="31">
        <f t="shared" si="114"/>
        <v>0</v>
      </c>
      <c r="N44" s="31">
        <f t="shared" si="115"/>
        <v>0</v>
      </c>
      <c r="O44" s="31">
        <f t="shared" ref="O44:U45" si="127">+D44/$Z$5</f>
        <v>0</v>
      </c>
      <c r="P44" s="31">
        <f t="shared" si="127"/>
        <v>0</v>
      </c>
      <c r="Q44" s="31">
        <f t="shared" si="127"/>
        <v>0</v>
      </c>
      <c r="R44" s="31">
        <f t="shared" si="127"/>
        <v>0</v>
      </c>
      <c r="S44" s="31">
        <f t="shared" si="127"/>
        <v>0</v>
      </c>
      <c r="T44" s="31">
        <f t="shared" si="127"/>
        <v>0</v>
      </c>
      <c r="U44" s="31">
        <f t="shared" si="127"/>
        <v>0</v>
      </c>
      <c r="V44" s="31">
        <f t="shared" si="122"/>
        <v>0</v>
      </c>
      <c r="W44" s="31">
        <f t="shared" si="123"/>
        <v>0</v>
      </c>
    </row>
    <row r="45" spans="1:24" x14ac:dyDescent="0.2">
      <c r="B45" s="54" t="str">
        <f>IF(A45=Lister!$A$24,"TAP/Øvrig kandidatuddannelse",IF(A45=Lister!$A$25,"Laborant",IF(A45=Lister!$A$26,"Laborant",IF(A45=Lister!$A$27,"Tekniker",IF(A45=Lister!$A$28,"Tekniker","")))))</f>
        <v/>
      </c>
      <c r="C45" s="67"/>
      <c r="D45" s="35">
        <f t="shared" si="111"/>
        <v>0</v>
      </c>
      <c r="E45" s="31">
        <f t="shared" si="126"/>
        <v>0</v>
      </c>
      <c r="F45" s="31">
        <f t="shared" si="126"/>
        <v>0</v>
      </c>
      <c r="G45" s="31">
        <f t="shared" si="126"/>
        <v>0</v>
      </c>
      <c r="H45" s="31">
        <f t="shared" si="126"/>
        <v>0</v>
      </c>
      <c r="I45" s="31">
        <f t="shared" si="126"/>
        <v>0</v>
      </c>
      <c r="J45" s="31">
        <f t="shared" si="126"/>
        <v>0</v>
      </c>
      <c r="K45" s="31">
        <f t="shared" si="113"/>
        <v>0</v>
      </c>
      <c r="L45" s="31">
        <f t="shared" si="114"/>
        <v>0</v>
      </c>
      <c r="N45" s="31">
        <f t="shared" si="115"/>
        <v>0</v>
      </c>
      <c r="O45" s="31">
        <f t="shared" si="127"/>
        <v>0</v>
      </c>
      <c r="P45" s="31">
        <f t="shared" si="127"/>
        <v>0</v>
      </c>
      <c r="Q45" s="31">
        <f t="shared" si="127"/>
        <v>0</v>
      </c>
      <c r="R45" s="31">
        <f t="shared" si="127"/>
        <v>0</v>
      </c>
      <c r="S45" s="31">
        <f t="shared" si="127"/>
        <v>0</v>
      </c>
      <c r="T45" s="31">
        <f t="shared" si="127"/>
        <v>0</v>
      </c>
      <c r="U45" s="31">
        <f t="shared" si="127"/>
        <v>0</v>
      </c>
      <c r="V45" s="31">
        <f t="shared" si="122"/>
        <v>0</v>
      </c>
      <c r="W45" s="31">
        <f t="shared" si="123"/>
        <v>0</v>
      </c>
    </row>
    <row r="46" spans="1:24" x14ac:dyDescent="0.2">
      <c r="B46" s="54" t="str">
        <f>IF(A46=Lister!$A$24,"TAP/Øvrig kandidatuddannelse",IF(A46=Lister!$A$25,"Laborant",IF(A46=Lister!$A$26,"Laborant",IF(A46=Lister!$A$27,"Tekniker",IF(A46=Lister!$A$28,"Tekniker","")))))</f>
        <v/>
      </c>
      <c r="C46" s="67"/>
      <c r="D46" s="35">
        <f t="shared" si="111"/>
        <v>0</v>
      </c>
      <c r="E46" s="31">
        <f t="shared" ref="E46:J51" si="128">ROUNDUP(+D46*$Z$3,-2)</f>
        <v>0</v>
      </c>
      <c r="F46" s="31">
        <f t="shared" si="128"/>
        <v>0</v>
      </c>
      <c r="G46" s="31">
        <f t="shared" si="128"/>
        <v>0</v>
      </c>
      <c r="H46" s="31">
        <f t="shared" si="128"/>
        <v>0</v>
      </c>
      <c r="I46" s="31">
        <f t="shared" si="128"/>
        <v>0</v>
      </c>
      <c r="J46" s="31">
        <f t="shared" si="128"/>
        <v>0</v>
      </c>
      <c r="K46" s="31">
        <f t="shared" si="113"/>
        <v>0</v>
      </c>
      <c r="L46" s="31">
        <f t="shared" si="114"/>
        <v>0</v>
      </c>
      <c r="N46" s="31">
        <f t="shared" si="115"/>
        <v>0</v>
      </c>
      <c r="O46" s="31">
        <f t="shared" si="116"/>
        <v>0</v>
      </c>
      <c r="P46" s="31">
        <f t="shared" si="117"/>
        <v>0</v>
      </c>
      <c r="Q46" s="31">
        <f t="shared" si="118"/>
        <v>0</v>
      </c>
      <c r="R46" s="31">
        <f t="shared" si="119"/>
        <v>0</v>
      </c>
      <c r="S46" s="31">
        <f t="shared" si="120"/>
        <v>0</v>
      </c>
      <c r="T46" s="31">
        <f t="shared" si="121"/>
        <v>0</v>
      </c>
      <c r="U46" s="31">
        <f t="shared" si="121"/>
        <v>0</v>
      </c>
      <c r="V46" s="31">
        <f t="shared" si="122"/>
        <v>0</v>
      </c>
      <c r="W46" s="31">
        <f t="shared" si="123"/>
        <v>0</v>
      </c>
    </row>
    <row r="47" spans="1:24" x14ac:dyDescent="0.2">
      <c r="B47" s="54" t="str">
        <f>IF(A47=Lister!$A$24,"TAP/Øvrig kandidatuddannelse",IF(A47=Lister!$A$25,"Laborant",IF(A47=Lister!$A$26,"Laborant",IF(A47=Lister!$A$27,"Tekniker",IF(A47=Lister!$A$28,"Tekniker","")))))</f>
        <v/>
      </c>
      <c r="C47" s="67"/>
      <c r="D47" s="35">
        <f t="shared" si="111"/>
        <v>0</v>
      </c>
      <c r="E47" s="31">
        <f t="shared" si="128"/>
        <v>0</v>
      </c>
      <c r="F47" s="31">
        <f t="shared" si="128"/>
        <v>0</v>
      </c>
      <c r="G47" s="31">
        <f t="shared" si="128"/>
        <v>0</v>
      </c>
      <c r="H47" s="31">
        <f t="shared" si="128"/>
        <v>0</v>
      </c>
      <c r="I47" s="31">
        <f t="shared" si="128"/>
        <v>0</v>
      </c>
      <c r="J47" s="31">
        <f t="shared" si="128"/>
        <v>0</v>
      </c>
      <c r="K47" s="31">
        <f t="shared" si="113"/>
        <v>0</v>
      </c>
      <c r="L47" s="31">
        <f t="shared" si="114"/>
        <v>0</v>
      </c>
      <c r="N47" s="31">
        <f t="shared" si="115"/>
        <v>0</v>
      </c>
      <c r="O47" s="31">
        <f t="shared" si="116"/>
        <v>0</v>
      </c>
      <c r="P47" s="31">
        <f t="shared" si="117"/>
        <v>0</v>
      </c>
      <c r="Q47" s="31">
        <f t="shared" si="118"/>
        <v>0</v>
      </c>
      <c r="R47" s="31">
        <f t="shared" si="119"/>
        <v>0</v>
      </c>
      <c r="S47" s="31">
        <f t="shared" si="120"/>
        <v>0</v>
      </c>
      <c r="T47" s="31">
        <f t="shared" si="121"/>
        <v>0</v>
      </c>
      <c r="U47" s="31">
        <f t="shared" si="121"/>
        <v>0</v>
      </c>
      <c r="V47" s="31">
        <f t="shared" si="122"/>
        <v>0</v>
      </c>
      <c r="W47" s="31">
        <f t="shared" si="123"/>
        <v>0</v>
      </c>
    </row>
    <row r="48" spans="1:24" x14ac:dyDescent="0.2">
      <c r="B48" s="54" t="str">
        <f>IF(A48=Lister!$A$24,"TAP/Øvrig kandidatuddannelse",IF(A48=Lister!$A$25,"Laborant",IF(A48=Lister!$A$26,"Laborant",IF(A48=Lister!$A$27,"Tekniker",IF(A48=Lister!$A$28,"Tekniker","")))))</f>
        <v/>
      </c>
      <c r="C48" s="67"/>
      <c r="D48" s="35">
        <f t="shared" si="111"/>
        <v>0</v>
      </c>
      <c r="E48" s="31">
        <f t="shared" si="128"/>
        <v>0</v>
      </c>
      <c r="F48" s="31">
        <f t="shared" si="128"/>
        <v>0</v>
      </c>
      <c r="G48" s="31">
        <f t="shared" si="128"/>
        <v>0</v>
      </c>
      <c r="H48" s="31">
        <f t="shared" si="128"/>
        <v>0</v>
      </c>
      <c r="I48" s="31">
        <f t="shared" si="128"/>
        <v>0</v>
      </c>
      <c r="J48" s="31">
        <f t="shared" si="128"/>
        <v>0</v>
      </c>
      <c r="K48" s="31">
        <f t="shared" si="113"/>
        <v>0</v>
      </c>
      <c r="L48" s="31">
        <f t="shared" si="114"/>
        <v>0</v>
      </c>
      <c r="N48" s="31">
        <f t="shared" si="115"/>
        <v>0</v>
      </c>
      <c r="O48" s="31">
        <f t="shared" si="116"/>
        <v>0</v>
      </c>
      <c r="P48" s="31">
        <f t="shared" si="117"/>
        <v>0</v>
      </c>
      <c r="Q48" s="31">
        <f t="shared" si="118"/>
        <v>0</v>
      </c>
      <c r="R48" s="31">
        <f t="shared" si="119"/>
        <v>0</v>
      </c>
      <c r="S48" s="31">
        <f t="shared" si="120"/>
        <v>0</v>
      </c>
      <c r="T48" s="31">
        <f t="shared" si="121"/>
        <v>0</v>
      </c>
      <c r="U48" s="31">
        <f t="shared" si="121"/>
        <v>0</v>
      </c>
      <c r="V48" s="31">
        <f t="shared" si="122"/>
        <v>0</v>
      </c>
      <c r="W48" s="31">
        <f t="shared" si="123"/>
        <v>0</v>
      </c>
    </row>
    <row r="49" spans="1:23" x14ac:dyDescent="0.2">
      <c r="A49"/>
      <c r="B49" s="54" t="str">
        <f>IF(A49=Lister!$A$24,"TAP/Øvrig kandidatuddannelse",IF(A49=Lister!$A$25,"Laborant",IF(A49=Lister!$A$26,"Laborant",IF(A49=Lister!$A$27,"Tekniker",IF(A49=Lister!$A$28,"Tekniker","")))))</f>
        <v/>
      </c>
      <c r="C49" s="67"/>
      <c r="D49" s="35">
        <f t="shared" si="111"/>
        <v>0</v>
      </c>
      <c r="E49" s="31">
        <f t="shared" si="128"/>
        <v>0</v>
      </c>
      <c r="F49" s="31">
        <f t="shared" si="128"/>
        <v>0</v>
      </c>
      <c r="G49" s="31">
        <f t="shared" si="128"/>
        <v>0</v>
      </c>
      <c r="H49" s="31">
        <f t="shared" si="128"/>
        <v>0</v>
      </c>
      <c r="I49" s="31">
        <f t="shared" si="128"/>
        <v>0</v>
      </c>
      <c r="J49" s="31">
        <f t="shared" si="128"/>
        <v>0</v>
      </c>
      <c r="K49" s="31">
        <f t="shared" si="113"/>
        <v>0</v>
      </c>
      <c r="L49" s="31">
        <f t="shared" si="114"/>
        <v>0</v>
      </c>
      <c r="N49" s="31">
        <f t="shared" si="115"/>
        <v>0</v>
      </c>
      <c r="O49" s="31">
        <f t="shared" ref="O49:U49" si="129">+D49/$Z$5</f>
        <v>0</v>
      </c>
      <c r="P49" s="31">
        <f t="shared" si="129"/>
        <v>0</v>
      </c>
      <c r="Q49" s="31">
        <f t="shared" si="129"/>
        <v>0</v>
      </c>
      <c r="R49" s="31">
        <f t="shared" si="129"/>
        <v>0</v>
      </c>
      <c r="S49" s="31">
        <f t="shared" si="129"/>
        <v>0</v>
      </c>
      <c r="T49" s="31">
        <f t="shared" si="129"/>
        <v>0</v>
      </c>
      <c r="U49" s="31">
        <f t="shared" si="129"/>
        <v>0</v>
      </c>
      <c r="V49" s="31">
        <f t="shared" si="122"/>
        <v>0</v>
      </c>
      <c r="W49" s="31">
        <f t="shared" si="123"/>
        <v>0</v>
      </c>
    </row>
    <row r="50" spans="1:23" x14ac:dyDescent="0.2">
      <c r="B50" s="54" t="str">
        <f>IF(A50=Lister!$A$24,"TAP/Øvrig kandidatuddannelse",IF(A50=Lister!$A$25,"Laborant",IF(A50=Lister!$A$26,"Laborant",IF(A50=Lister!$A$27,"Tekniker",IF(A50=Lister!$A$28,"Tekniker","")))))</f>
        <v/>
      </c>
      <c r="C50" s="67"/>
      <c r="D50" s="35">
        <f t="shared" si="111"/>
        <v>0</v>
      </c>
      <c r="E50" s="31">
        <f t="shared" si="128"/>
        <v>0</v>
      </c>
      <c r="F50" s="31">
        <f t="shared" si="128"/>
        <v>0</v>
      </c>
      <c r="G50" s="31">
        <f t="shared" si="128"/>
        <v>0</v>
      </c>
      <c r="H50" s="31">
        <f t="shared" si="128"/>
        <v>0</v>
      </c>
      <c r="I50" s="31">
        <f t="shared" si="128"/>
        <v>0</v>
      </c>
      <c r="J50" s="31">
        <f t="shared" si="128"/>
        <v>0</v>
      </c>
      <c r="K50" s="31">
        <f t="shared" si="113"/>
        <v>0</v>
      </c>
      <c r="L50" s="31">
        <f t="shared" si="114"/>
        <v>0</v>
      </c>
      <c r="N50" s="31">
        <f t="shared" si="115"/>
        <v>0</v>
      </c>
      <c r="O50" s="31">
        <f t="shared" si="116"/>
        <v>0</v>
      </c>
      <c r="P50" s="31">
        <f t="shared" si="117"/>
        <v>0</v>
      </c>
      <c r="Q50" s="31">
        <f t="shared" si="118"/>
        <v>0</v>
      </c>
      <c r="R50" s="31">
        <f t="shared" si="119"/>
        <v>0</v>
      </c>
      <c r="S50" s="31">
        <f t="shared" si="120"/>
        <v>0</v>
      </c>
      <c r="T50" s="31">
        <f t="shared" si="121"/>
        <v>0</v>
      </c>
      <c r="U50" s="31">
        <f t="shared" si="121"/>
        <v>0</v>
      </c>
      <c r="V50" s="31">
        <f t="shared" si="122"/>
        <v>0</v>
      </c>
      <c r="W50" s="31">
        <f t="shared" si="123"/>
        <v>0</v>
      </c>
    </row>
    <row r="51" spans="1:23" x14ac:dyDescent="0.2">
      <c r="B51" s="54" t="str">
        <f>IF(A51=Lister!$A$24,"TAP/Øvrig kandidatuddannelse",IF(A51=Lister!$A$25,"Laborant",IF(A51=Lister!$A$26,"Laborant",IF(A51=Lister!$A$27,"Tekniker",IF(A51=Lister!$A$28,"Tekniker","")))))</f>
        <v/>
      </c>
      <c r="C51" s="67"/>
      <c r="D51" s="35">
        <f t="shared" si="111"/>
        <v>0</v>
      </c>
      <c r="E51" s="31">
        <f t="shared" si="128"/>
        <v>0</v>
      </c>
      <c r="F51" s="31">
        <f t="shared" si="128"/>
        <v>0</v>
      </c>
      <c r="G51" s="31">
        <f t="shared" si="128"/>
        <v>0</v>
      </c>
      <c r="H51" s="31">
        <f t="shared" si="128"/>
        <v>0</v>
      </c>
      <c r="I51" s="31">
        <f t="shared" si="128"/>
        <v>0</v>
      </c>
      <c r="J51" s="31">
        <f t="shared" si="128"/>
        <v>0</v>
      </c>
      <c r="K51" s="31">
        <f t="shared" si="113"/>
        <v>0</v>
      </c>
      <c r="L51" s="31">
        <f t="shared" si="114"/>
        <v>0</v>
      </c>
      <c r="N51" s="31">
        <f t="shared" si="115"/>
        <v>0</v>
      </c>
      <c r="O51" s="31">
        <f t="shared" si="116"/>
        <v>0</v>
      </c>
      <c r="P51" s="31">
        <f t="shared" si="117"/>
        <v>0</v>
      </c>
      <c r="Q51" s="31">
        <f t="shared" si="118"/>
        <v>0</v>
      </c>
      <c r="R51" s="31">
        <f t="shared" si="119"/>
        <v>0</v>
      </c>
      <c r="S51" s="31">
        <f t="shared" si="120"/>
        <v>0</v>
      </c>
      <c r="T51" s="31">
        <f t="shared" si="121"/>
        <v>0</v>
      </c>
      <c r="U51" s="31">
        <f t="shared" si="121"/>
        <v>0</v>
      </c>
      <c r="V51" s="31">
        <f t="shared" si="122"/>
        <v>0</v>
      </c>
      <c r="W51" s="31">
        <f t="shared" si="123"/>
        <v>0</v>
      </c>
    </row>
    <row r="53" spans="1:23" ht="15" x14ac:dyDescent="0.25">
      <c r="A53" s="2" t="s">
        <v>10</v>
      </c>
      <c r="B53" s="2" t="s">
        <v>97</v>
      </c>
    </row>
    <row r="54" spans="1:23" x14ac:dyDescent="0.2">
      <c r="A54" s="1" t="s">
        <v>54</v>
      </c>
      <c r="B54" s="54"/>
      <c r="C54" s="33">
        <v>42100</v>
      </c>
      <c r="D54" s="35">
        <f t="shared" ref="D54:D67" si="130">ROUNDUP(+C54*$Z$3,-2)</f>
        <v>43400</v>
      </c>
      <c r="E54" s="31">
        <f t="shared" ref="E54:J54" si="131">ROUNDUP(+D54*$Z$3,-2)</f>
        <v>44800</v>
      </c>
      <c r="F54" s="31">
        <f t="shared" si="131"/>
        <v>46200</v>
      </c>
      <c r="G54" s="31">
        <f t="shared" si="131"/>
        <v>47600</v>
      </c>
      <c r="H54" s="31">
        <f t="shared" si="131"/>
        <v>49100</v>
      </c>
      <c r="I54" s="31">
        <f t="shared" si="131"/>
        <v>50600</v>
      </c>
      <c r="J54" s="31">
        <f t="shared" si="131"/>
        <v>52200</v>
      </c>
      <c r="K54" s="31">
        <f t="shared" ref="K54:K67" si="132">ROUNDUP(+J54*$Z$3,-2)</f>
        <v>53800</v>
      </c>
      <c r="L54" s="31">
        <f t="shared" ref="L54:L67" si="133">ROUNDUP(+K54*$Z$3,-2)</f>
        <v>55500</v>
      </c>
    </row>
    <row r="55" spans="1:23" x14ac:dyDescent="0.2">
      <c r="A55" s="1" t="s">
        <v>55</v>
      </c>
      <c r="B55" s="54" t="s">
        <v>3</v>
      </c>
      <c r="C55" s="34">
        <v>5300</v>
      </c>
      <c r="D55" s="36">
        <f t="shared" si="130"/>
        <v>5500</v>
      </c>
      <c r="E55" s="32">
        <f t="shared" ref="E55:J55" si="134">ROUNDUP(+D55*$Z$3,-2)</f>
        <v>5700</v>
      </c>
      <c r="F55" s="32">
        <f t="shared" si="134"/>
        <v>5900</v>
      </c>
      <c r="G55" s="32">
        <f t="shared" si="134"/>
        <v>6100</v>
      </c>
      <c r="H55" s="32">
        <f t="shared" si="134"/>
        <v>6300</v>
      </c>
      <c r="I55" s="32">
        <f t="shared" si="134"/>
        <v>6500</v>
      </c>
      <c r="J55" s="32">
        <f t="shared" si="134"/>
        <v>6700</v>
      </c>
      <c r="K55" s="32">
        <f t="shared" si="132"/>
        <v>7000</v>
      </c>
      <c r="L55" s="32">
        <f t="shared" si="133"/>
        <v>7300</v>
      </c>
      <c r="N55" s="31">
        <f t="shared" ref="N55:N67" si="135">+C55/$Z$5</f>
        <v>43.561643835616437</v>
      </c>
      <c r="O55" s="31">
        <f t="shared" ref="O55:U55" si="136">+D55/$Z$5</f>
        <v>45.205479452054796</v>
      </c>
      <c r="P55" s="31">
        <f t="shared" si="136"/>
        <v>46.849315068493148</v>
      </c>
      <c r="Q55" s="31">
        <f t="shared" si="136"/>
        <v>48.493150684931507</v>
      </c>
      <c r="R55" s="31">
        <f t="shared" si="136"/>
        <v>50.136986301369859</v>
      </c>
      <c r="S55" s="31">
        <f t="shared" si="136"/>
        <v>51.780821917808218</v>
      </c>
      <c r="T55" s="31">
        <f t="shared" si="136"/>
        <v>53.42465753424657</v>
      </c>
      <c r="U55" s="31">
        <f t="shared" si="136"/>
        <v>55.06849315068493</v>
      </c>
      <c r="V55" s="31">
        <f t="shared" ref="V55:V67" si="137">+K55/$Z$5</f>
        <v>57.534246575342465</v>
      </c>
      <c r="W55" s="31">
        <f t="shared" ref="W55:W67" si="138">+L55/$Z$5</f>
        <v>60</v>
      </c>
    </row>
    <row r="56" spans="1:23" x14ac:dyDescent="0.2">
      <c r="A56" s="1" t="s">
        <v>56</v>
      </c>
      <c r="B56" s="54" t="s">
        <v>21</v>
      </c>
      <c r="C56" s="34">
        <v>1200</v>
      </c>
      <c r="D56" s="36">
        <f t="shared" si="130"/>
        <v>1300</v>
      </c>
      <c r="E56" s="32">
        <f t="shared" ref="E56" si="139">ROUNDUP(+D56*$Z$3,-2)</f>
        <v>1400</v>
      </c>
      <c r="F56" s="32">
        <f t="shared" ref="F56" si="140">ROUNDUP(+E56*$Z$3,-2)</f>
        <v>1500</v>
      </c>
      <c r="G56" s="32">
        <f t="shared" ref="G56" si="141">ROUNDUP(+F56*$Z$3,-2)</f>
        <v>1600</v>
      </c>
      <c r="H56" s="32">
        <f t="shared" ref="H56" si="142">ROUNDUP(+G56*$Z$3,-2)</f>
        <v>1700</v>
      </c>
      <c r="I56" s="32">
        <f t="shared" ref="I56:J56" si="143">ROUNDUP(+H56*$Z$3,-2)</f>
        <v>1800</v>
      </c>
      <c r="J56" s="32">
        <f t="shared" si="143"/>
        <v>1900</v>
      </c>
      <c r="K56" s="32">
        <f t="shared" si="132"/>
        <v>2000</v>
      </c>
      <c r="L56" s="32">
        <f t="shared" si="133"/>
        <v>2100</v>
      </c>
      <c r="N56" s="31">
        <f t="shared" si="135"/>
        <v>9.8630136986301373</v>
      </c>
      <c r="O56" s="31">
        <f t="shared" ref="O56" si="144">+D56/$Z$5</f>
        <v>10.684931506849315</v>
      </c>
      <c r="P56" s="31">
        <f t="shared" ref="P56" si="145">+E56/$Z$5</f>
        <v>11.506849315068493</v>
      </c>
      <c r="Q56" s="31">
        <f t="shared" ref="Q56" si="146">+F56/$Z$5</f>
        <v>12.328767123287671</v>
      </c>
      <c r="R56" s="31">
        <f t="shared" ref="R56" si="147">+G56/$Z$5</f>
        <v>13.150684931506849</v>
      </c>
      <c r="S56" s="31">
        <f t="shared" ref="S56" si="148">+H56/$Z$5</f>
        <v>13.972602739726026</v>
      </c>
      <c r="T56" s="31">
        <f t="shared" ref="T56:U56" si="149">+I56/$Z$5</f>
        <v>14.794520547945204</v>
      </c>
      <c r="U56" s="31">
        <f t="shared" si="149"/>
        <v>15.616438356164384</v>
      </c>
      <c r="V56" s="31">
        <f t="shared" si="137"/>
        <v>16.43835616438356</v>
      </c>
      <c r="W56" s="31">
        <f t="shared" si="138"/>
        <v>17.260273972602739</v>
      </c>
    </row>
    <row r="57" spans="1:23" x14ac:dyDescent="0.2">
      <c r="A57" s="1" t="s">
        <v>98</v>
      </c>
      <c r="B57" s="54" t="s">
        <v>100</v>
      </c>
      <c r="C57" s="34">
        <v>3600</v>
      </c>
      <c r="D57" s="36">
        <f t="shared" si="130"/>
        <v>3800</v>
      </c>
      <c r="E57" s="32">
        <f t="shared" ref="E57" si="150">ROUNDUP(+D57*$Z$3,-2)</f>
        <v>4000</v>
      </c>
      <c r="F57" s="32">
        <f t="shared" ref="F57" si="151">ROUNDUP(+E57*$Z$3,-2)</f>
        <v>4200</v>
      </c>
      <c r="G57" s="32">
        <f t="shared" ref="G57" si="152">ROUNDUP(+F57*$Z$3,-2)</f>
        <v>4400</v>
      </c>
      <c r="H57" s="32">
        <f t="shared" ref="H57" si="153">ROUNDUP(+G57*$Z$3,-2)</f>
        <v>4600</v>
      </c>
      <c r="I57" s="32">
        <f t="shared" ref="I57:J57" si="154">ROUNDUP(+H57*$Z$3,-2)</f>
        <v>4800</v>
      </c>
      <c r="J57" s="32">
        <f t="shared" si="154"/>
        <v>5000</v>
      </c>
      <c r="K57" s="32">
        <f t="shared" si="132"/>
        <v>5200</v>
      </c>
      <c r="L57" s="32">
        <f t="shared" si="133"/>
        <v>5400</v>
      </c>
      <c r="N57" s="31">
        <f t="shared" si="135"/>
        <v>29.589041095890408</v>
      </c>
      <c r="O57" s="31">
        <f t="shared" ref="O57" si="155">+D57/$Z$5</f>
        <v>31.232876712328768</v>
      </c>
      <c r="P57" s="31">
        <f t="shared" ref="P57" si="156">+E57/$Z$5</f>
        <v>32.87671232876712</v>
      </c>
      <c r="Q57" s="31">
        <f t="shared" ref="Q57" si="157">+F57/$Z$5</f>
        <v>34.520547945205479</v>
      </c>
      <c r="R57" s="31">
        <f t="shared" ref="R57" si="158">+G57/$Z$5</f>
        <v>36.164383561643831</v>
      </c>
      <c r="S57" s="31">
        <f t="shared" ref="S57" si="159">+H57/$Z$5</f>
        <v>37.80821917808219</v>
      </c>
      <c r="T57" s="31">
        <f t="shared" ref="T57:U57" si="160">+I57/$Z$5</f>
        <v>39.452054794520549</v>
      </c>
      <c r="U57" s="31">
        <f t="shared" si="160"/>
        <v>41.095890410958901</v>
      </c>
      <c r="V57" s="31">
        <f t="shared" si="137"/>
        <v>42.739726027397261</v>
      </c>
      <c r="W57" s="31">
        <f t="shared" si="138"/>
        <v>44.383561643835613</v>
      </c>
    </row>
    <row r="58" spans="1:23" x14ac:dyDescent="0.2">
      <c r="A58" s="1" t="s">
        <v>57</v>
      </c>
      <c r="B58" s="54" t="s">
        <v>4</v>
      </c>
      <c r="C58" s="34">
        <v>3600</v>
      </c>
      <c r="D58" s="36">
        <f t="shared" si="130"/>
        <v>3800</v>
      </c>
      <c r="E58" s="32">
        <f t="shared" ref="E58:E67" si="161">ROUNDUP(+D58*$Z$3,-2)</f>
        <v>4000</v>
      </c>
      <c r="F58" s="32">
        <f t="shared" ref="F58:F67" si="162">ROUNDUP(+E58*$Z$3,-2)</f>
        <v>4200</v>
      </c>
      <c r="G58" s="32">
        <f t="shared" ref="G58:G67" si="163">ROUNDUP(+F58*$Z$3,-2)</f>
        <v>4400</v>
      </c>
      <c r="H58" s="32">
        <f t="shared" ref="H58:H67" si="164">ROUNDUP(+G58*$Z$3,-2)</f>
        <v>4600</v>
      </c>
      <c r="I58" s="32">
        <f t="shared" ref="I58:J67" si="165">ROUNDUP(+H58*$Z$3,-2)</f>
        <v>4800</v>
      </c>
      <c r="J58" s="32">
        <f t="shared" si="165"/>
        <v>5000</v>
      </c>
      <c r="K58" s="32">
        <f t="shared" si="132"/>
        <v>5200</v>
      </c>
      <c r="L58" s="32">
        <f t="shared" si="133"/>
        <v>5400</v>
      </c>
      <c r="N58" s="31">
        <f t="shared" si="135"/>
        <v>29.589041095890408</v>
      </c>
      <c r="O58" s="31">
        <f t="shared" ref="O58:O67" si="166">+D58/$Z$5</f>
        <v>31.232876712328768</v>
      </c>
      <c r="P58" s="31">
        <f t="shared" ref="P58:P67" si="167">+E58/$Z$5</f>
        <v>32.87671232876712</v>
      </c>
      <c r="Q58" s="31">
        <f t="shared" ref="Q58:Q67" si="168">+F58/$Z$5</f>
        <v>34.520547945205479</v>
      </c>
      <c r="R58" s="31">
        <f t="shared" ref="R58:R67" si="169">+G58/$Z$5</f>
        <v>36.164383561643831</v>
      </c>
      <c r="S58" s="31">
        <f t="shared" ref="S58:S67" si="170">+H58/$Z$5</f>
        <v>37.80821917808219</v>
      </c>
      <c r="T58" s="31">
        <f t="shared" ref="T58:U67" si="171">+I58/$Z$5</f>
        <v>39.452054794520549</v>
      </c>
      <c r="U58" s="31">
        <f t="shared" si="171"/>
        <v>41.095890410958901</v>
      </c>
      <c r="V58" s="31">
        <f t="shared" si="137"/>
        <v>42.739726027397261</v>
      </c>
      <c r="W58" s="31">
        <f t="shared" si="138"/>
        <v>44.383561643835613</v>
      </c>
    </row>
    <row r="59" spans="1:23" x14ac:dyDescent="0.2">
      <c r="A59" s="1" t="s">
        <v>176</v>
      </c>
      <c r="B59" s="54" t="s">
        <v>92</v>
      </c>
      <c r="C59" s="34">
        <v>0</v>
      </c>
      <c r="D59" s="36">
        <f t="shared" si="130"/>
        <v>0</v>
      </c>
      <c r="E59" s="32">
        <f t="shared" si="161"/>
        <v>0</v>
      </c>
      <c r="F59" s="32">
        <f t="shared" si="162"/>
        <v>0</v>
      </c>
      <c r="G59" s="32">
        <f t="shared" si="163"/>
        <v>0</v>
      </c>
      <c r="H59" s="32">
        <f t="shared" si="164"/>
        <v>0</v>
      </c>
      <c r="I59" s="32">
        <f t="shared" si="165"/>
        <v>0</v>
      </c>
      <c r="J59" s="32">
        <f t="shared" si="165"/>
        <v>0</v>
      </c>
      <c r="K59" s="32">
        <f t="shared" si="132"/>
        <v>0</v>
      </c>
      <c r="L59" s="32">
        <f t="shared" si="133"/>
        <v>0</v>
      </c>
      <c r="N59" s="31">
        <f t="shared" si="135"/>
        <v>0</v>
      </c>
      <c r="O59" s="31">
        <f>+D59/$Z$5</f>
        <v>0</v>
      </c>
      <c r="P59" s="31">
        <f t="shared" si="167"/>
        <v>0</v>
      </c>
      <c r="Q59" s="31">
        <f t="shared" si="168"/>
        <v>0</v>
      </c>
      <c r="R59" s="31">
        <f t="shared" si="169"/>
        <v>0</v>
      </c>
      <c r="S59" s="31">
        <f t="shared" si="170"/>
        <v>0</v>
      </c>
      <c r="T59" s="31">
        <f t="shared" si="171"/>
        <v>0</v>
      </c>
      <c r="U59" s="31">
        <f t="shared" si="171"/>
        <v>0</v>
      </c>
      <c r="V59" s="31">
        <f t="shared" si="137"/>
        <v>0</v>
      </c>
      <c r="W59" s="31">
        <f t="shared" si="138"/>
        <v>0</v>
      </c>
    </row>
    <row r="60" spans="1:23" x14ac:dyDescent="0.2">
      <c r="A60" s="1" t="s">
        <v>177</v>
      </c>
      <c r="B60" s="54" t="s">
        <v>93</v>
      </c>
      <c r="C60" s="34">
        <v>0</v>
      </c>
      <c r="D60" s="36">
        <f t="shared" si="130"/>
        <v>0</v>
      </c>
      <c r="E60" s="32">
        <f t="shared" si="161"/>
        <v>0</v>
      </c>
      <c r="F60" s="32">
        <f t="shared" si="162"/>
        <v>0</v>
      </c>
      <c r="G60" s="32">
        <f t="shared" si="163"/>
        <v>0</v>
      </c>
      <c r="H60" s="32">
        <f t="shared" si="164"/>
        <v>0</v>
      </c>
      <c r="I60" s="32">
        <f t="shared" si="165"/>
        <v>0</v>
      </c>
      <c r="J60" s="32">
        <f t="shared" si="165"/>
        <v>0</v>
      </c>
      <c r="K60" s="32">
        <f t="shared" si="132"/>
        <v>0</v>
      </c>
      <c r="L60" s="32">
        <f t="shared" si="133"/>
        <v>0</v>
      </c>
      <c r="N60" s="31">
        <f t="shared" si="135"/>
        <v>0</v>
      </c>
      <c r="O60" s="31">
        <f t="shared" si="166"/>
        <v>0</v>
      </c>
      <c r="P60" s="31">
        <f t="shared" si="167"/>
        <v>0</v>
      </c>
      <c r="Q60" s="31">
        <f t="shared" si="168"/>
        <v>0</v>
      </c>
      <c r="R60" s="31">
        <f t="shared" si="169"/>
        <v>0</v>
      </c>
      <c r="S60" s="31">
        <f t="shared" si="170"/>
        <v>0</v>
      </c>
      <c r="T60" s="31">
        <f t="shared" si="171"/>
        <v>0</v>
      </c>
      <c r="U60" s="31">
        <f t="shared" si="171"/>
        <v>0</v>
      </c>
      <c r="V60" s="31">
        <f t="shared" si="137"/>
        <v>0</v>
      </c>
      <c r="W60" s="31">
        <f t="shared" si="138"/>
        <v>0</v>
      </c>
    </row>
    <row r="61" spans="1:23" x14ac:dyDescent="0.2">
      <c r="A61" s="1" t="s">
        <v>178</v>
      </c>
      <c r="B61" s="54" t="s">
        <v>5</v>
      </c>
      <c r="C61" s="34">
        <v>0</v>
      </c>
      <c r="D61" s="36">
        <f t="shared" si="130"/>
        <v>0</v>
      </c>
      <c r="E61" s="32">
        <f t="shared" si="161"/>
        <v>0</v>
      </c>
      <c r="F61" s="32">
        <f t="shared" si="162"/>
        <v>0</v>
      </c>
      <c r="G61" s="32">
        <f t="shared" si="163"/>
        <v>0</v>
      </c>
      <c r="H61" s="32">
        <f t="shared" si="164"/>
        <v>0</v>
      </c>
      <c r="I61" s="32">
        <f t="shared" si="165"/>
        <v>0</v>
      </c>
      <c r="J61" s="32">
        <f t="shared" si="165"/>
        <v>0</v>
      </c>
      <c r="K61" s="32">
        <f t="shared" si="132"/>
        <v>0</v>
      </c>
      <c r="L61" s="32">
        <f t="shared" si="133"/>
        <v>0</v>
      </c>
      <c r="N61" s="31">
        <f t="shared" si="135"/>
        <v>0</v>
      </c>
      <c r="O61" s="31">
        <f t="shared" si="166"/>
        <v>0</v>
      </c>
      <c r="P61" s="31">
        <f t="shared" si="167"/>
        <v>0</v>
      </c>
      <c r="Q61" s="31">
        <f t="shared" si="168"/>
        <v>0</v>
      </c>
      <c r="R61" s="31">
        <f t="shared" si="169"/>
        <v>0</v>
      </c>
      <c r="S61" s="31">
        <f t="shared" si="170"/>
        <v>0</v>
      </c>
      <c r="T61" s="31">
        <f t="shared" si="171"/>
        <v>0</v>
      </c>
      <c r="U61" s="31">
        <f t="shared" si="171"/>
        <v>0</v>
      </c>
      <c r="V61" s="31">
        <f t="shared" si="137"/>
        <v>0</v>
      </c>
      <c r="W61" s="31">
        <f t="shared" si="138"/>
        <v>0</v>
      </c>
    </row>
    <row r="62" spans="1:23" x14ac:dyDescent="0.2">
      <c r="A62" s="1" t="s">
        <v>179</v>
      </c>
      <c r="B62" s="54" t="s">
        <v>117</v>
      </c>
      <c r="C62" s="34">
        <v>0</v>
      </c>
      <c r="D62" s="36">
        <f t="shared" si="130"/>
        <v>0</v>
      </c>
      <c r="E62" s="32">
        <f t="shared" si="161"/>
        <v>0</v>
      </c>
      <c r="F62" s="32">
        <f t="shared" si="162"/>
        <v>0</v>
      </c>
      <c r="G62" s="32">
        <f t="shared" si="163"/>
        <v>0</v>
      </c>
      <c r="H62" s="32">
        <f t="shared" si="164"/>
        <v>0</v>
      </c>
      <c r="I62" s="32">
        <f t="shared" si="165"/>
        <v>0</v>
      </c>
      <c r="J62" s="32">
        <f t="shared" si="165"/>
        <v>0</v>
      </c>
      <c r="K62" s="32">
        <f t="shared" si="132"/>
        <v>0</v>
      </c>
      <c r="L62" s="32">
        <f t="shared" si="133"/>
        <v>0</v>
      </c>
      <c r="N62" s="31">
        <f t="shared" si="135"/>
        <v>0</v>
      </c>
      <c r="O62" s="31">
        <f t="shared" si="166"/>
        <v>0</v>
      </c>
      <c r="P62" s="31">
        <f t="shared" si="167"/>
        <v>0</v>
      </c>
      <c r="Q62" s="31">
        <f t="shared" si="168"/>
        <v>0</v>
      </c>
      <c r="R62" s="31">
        <f t="shared" si="169"/>
        <v>0</v>
      </c>
      <c r="S62" s="31">
        <f t="shared" si="170"/>
        <v>0</v>
      </c>
      <c r="T62" s="31">
        <f t="shared" si="171"/>
        <v>0</v>
      </c>
      <c r="U62" s="31">
        <f t="shared" si="171"/>
        <v>0</v>
      </c>
      <c r="V62" s="31">
        <f t="shared" si="137"/>
        <v>0</v>
      </c>
      <c r="W62" s="31">
        <f t="shared" si="138"/>
        <v>0</v>
      </c>
    </row>
    <row r="63" spans="1:23" x14ac:dyDescent="0.2">
      <c r="A63" s="1" t="s">
        <v>180</v>
      </c>
      <c r="B63" s="54" t="s">
        <v>94</v>
      </c>
      <c r="C63" s="34">
        <v>0</v>
      </c>
      <c r="D63" s="36">
        <f t="shared" si="130"/>
        <v>0</v>
      </c>
      <c r="E63" s="32">
        <f t="shared" si="161"/>
        <v>0</v>
      </c>
      <c r="F63" s="32">
        <f t="shared" si="162"/>
        <v>0</v>
      </c>
      <c r="G63" s="32">
        <f t="shared" si="163"/>
        <v>0</v>
      </c>
      <c r="H63" s="32">
        <f t="shared" si="164"/>
        <v>0</v>
      </c>
      <c r="I63" s="32">
        <f t="shared" si="165"/>
        <v>0</v>
      </c>
      <c r="J63" s="32">
        <f t="shared" si="165"/>
        <v>0</v>
      </c>
      <c r="K63" s="32">
        <f t="shared" si="132"/>
        <v>0</v>
      </c>
      <c r="L63" s="32">
        <f t="shared" si="133"/>
        <v>0</v>
      </c>
      <c r="N63" s="31">
        <f t="shared" si="135"/>
        <v>0</v>
      </c>
      <c r="O63" s="31">
        <f t="shared" si="166"/>
        <v>0</v>
      </c>
      <c r="P63" s="31">
        <f t="shared" si="167"/>
        <v>0</v>
      </c>
      <c r="Q63" s="31">
        <f t="shared" si="168"/>
        <v>0</v>
      </c>
      <c r="R63" s="31">
        <f t="shared" si="169"/>
        <v>0</v>
      </c>
      <c r="S63" s="31">
        <f t="shared" si="170"/>
        <v>0</v>
      </c>
      <c r="T63" s="31">
        <f t="shared" si="171"/>
        <v>0</v>
      </c>
      <c r="U63" s="31">
        <f t="shared" si="171"/>
        <v>0</v>
      </c>
      <c r="V63" s="31">
        <f t="shared" si="137"/>
        <v>0</v>
      </c>
      <c r="W63" s="31">
        <f t="shared" si="138"/>
        <v>0</v>
      </c>
    </row>
    <row r="64" spans="1:23" x14ac:dyDescent="0.2">
      <c r="A64" s="1" t="s">
        <v>181</v>
      </c>
      <c r="B64" s="54" t="s">
        <v>115</v>
      </c>
      <c r="C64" s="34">
        <v>0</v>
      </c>
      <c r="D64" s="36">
        <f t="shared" si="130"/>
        <v>0</v>
      </c>
      <c r="E64" s="32">
        <f t="shared" si="161"/>
        <v>0</v>
      </c>
      <c r="F64" s="32">
        <f t="shared" si="162"/>
        <v>0</v>
      </c>
      <c r="G64" s="32">
        <f t="shared" si="163"/>
        <v>0</v>
      </c>
      <c r="H64" s="32">
        <f t="shared" si="164"/>
        <v>0</v>
      </c>
      <c r="I64" s="32">
        <f t="shared" si="165"/>
        <v>0</v>
      </c>
      <c r="J64" s="32">
        <f t="shared" si="165"/>
        <v>0</v>
      </c>
      <c r="K64" s="32">
        <f t="shared" si="132"/>
        <v>0</v>
      </c>
      <c r="L64" s="32">
        <f t="shared" si="133"/>
        <v>0</v>
      </c>
      <c r="N64" s="31">
        <f t="shared" si="135"/>
        <v>0</v>
      </c>
      <c r="O64" s="31">
        <f t="shared" si="166"/>
        <v>0</v>
      </c>
      <c r="P64" s="31">
        <f t="shared" si="167"/>
        <v>0</v>
      </c>
      <c r="Q64" s="31">
        <f t="shared" si="168"/>
        <v>0</v>
      </c>
      <c r="R64" s="31">
        <f t="shared" si="169"/>
        <v>0</v>
      </c>
      <c r="S64" s="31">
        <f t="shared" si="170"/>
        <v>0</v>
      </c>
      <c r="T64" s="31">
        <f t="shared" si="171"/>
        <v>0</v>
      </c>
      <c r="U64" s="31">
        <f t="shared" si="171"/>
        <v>0</v>
      </c>
      <c r="V64" s="31">
        <f t="shared" si="137"/>
        <v>0</v>
      </c>
      <c r="W64" s="31">
        <f t="shared" si="138"/>
        <v>0</v>
      </c>
    </row>
    <row r="65" spans="1:24" x14ac:dyDescent="0.2">
      <c r="A65" s="1" t="s">
        <v>182</v>
      </c>
      <c r="B65" s="54" t="s">
        <v>116</v>
      </c>
      <c r="C65" s="34">
        <v>0</v>
      </c>
      <c r="D65" s="36">
        <f t="shared" si="130"/>
        <v>0</v>
      </c>
      <c r="E65" s="32">
        <f t="shared" si="161"/>
        <v>0</v>
      </c>
      <c r="F65" s="32">
        <f t="shared" si="162"/>
        <v>0</v>
      </c>
      <c r="G65" s="32">
        <f t="shared" si="163"/>
        <v>0</v>
      </c>
      <c r="H65" s="32">
        <f t="shared" si="164"/>
        <v>0</v>
      </c>
      <c r="I65" s="32">
        <f t="shared" si="165"/>
        <v>0</v>
      </c>
      <c r="J65" s="32">
        <f t="shared" si="165"/>
        <v>0</v>
      </c>
      <c r="K65" s="32">
        <f t="shared" si="132"/>
        <v>0</v>
      </c>
      <c r="L65" s="32">
        <f t="shared" si="133"/>
        <v>0</v>
      </c>
      <c r="N65" s="31">
        <f t="shared" si="135"/>
        <v>0</v>
      </c>
      <c r="O65" s="31">
        <f t="shared" si="166"/>
        <v>0</v>
      </c>
      <c r="P65" s="31">
        <f t="shared" si="167"/>
        <v>0</v>
      </c>
      <c r="Q65" s="31">
        <f t="shared" si="168"/>
        <v>0</v>
      </c>
      <c r="R65" s="31">
        <f t="shared" si="169"/>
        <v>0</v>
      </c>
      <c r="S65" s="31">
        <f t="shared" si="170"/>
        <v>0</v>
      </c>
      <c r="T65" s="31">
        <f t="shared" si="171"/>
        <v>0</v>
      </c>
      <c r="U65" s="31">
        <f t="shared" si="171"/>
        <v>0</v>
      </c>
      <c r="V65" s="31">
        <f t="shared" si="137"/>
        <v>0</v>
      </c>
      <c r="W65" s="31">
        <f t="shared" si="138"/>
        <v>0</v>
      </c>
    </row>
    <row r="66" spans="1:24" x14ac:dyDescent="0.2">
      <c r="A66" s="1" t="s">
        <v>183</v>
      </c>
      <c r="B66" s="54" t="s">
        <v>6</v>
      </c>
      <c r="C66" s="34">
        <v>0</v>
      </c>
      <c r="D66" s="36">
        <f t="shared" si="130"/>
        <v>0</v>
      </c>
      <c r="E66" s="32">
        <f t="shared" si="161"/>
        <v>0</v>
      </c>
      <c r="F66" s="32">
        <f t="shared" si="162"/>
        <v>0</v>
      </c>
      <c r="G66" s="32">
        <f t="shared" si="163"/>
        <v>0</v>
      </c>
      <c r="H66" s="32">
        <f t="shared" si="164"/>
        <v>0</v>
      </c>
      <c r="I66" s="32">
        <f t="shared" si="165"/>
        <v>0</v>
      </c>
      <c r="J66" s="32">
        <f t="shared" si="165"/>
        <v>0</v>
      </c>
      <c r="K66" s="32">
        <f t="shared" si="132"/>
        <v>0</v>
      </c>
      <c r="L66" s="32">
        <f t="shared" si="133"/>
        <v>0</v>
      </c>
      <c r="N66" s="31">
        <f t="shared" si="135"/>
        <v>0</v>
      </c>
      <c r="O66" s="31">
        <f t="shared" si="166"/>
        <v>0</v>
      </c>
      <c r="P66" s="31">
        <f t="shared" si="167"/>
        <v>0</v>
      </c>
      <c r="Q66" s="31">
        <f t="shared" si="168"/>
        <v>0</v>
      </c>
      <c r="R66" s="31">
        <f t="shared" si="169"/>
        <v>0</v>
      </c>
      <c r="S66" s="31">
        <f t="shared" si="170"/>
        <v>0</v>
      </c>
      <c r="T66" s="31">
        <f t="shared" si="171"/>
        <v>0</v>
      </c>
      <c r="U66" s="31">
        <f t="shared" si="171"/>
        <v>0</v>
      </c>
      <c r="V66" s="31">
        <f t="shared" si="137"/>
        <v>0</v>
      </c>
      <c r="W66" s="31">
        <f t="shared" si="138"/>
        <v>0</v>
      </c>
    </row>
    <row r="67" spans="1:24" x14ac:dyDescent="0.2">
      <c r="A67" s="1" t="s">
        <v>184</v>
      </c>
      <c r="B67" s="54" t="s">
        <v>95</v>
      </c>
      <c r="C67" s="34">
        <v>0</v>
      </c>
      <c r="D67" s="36">
        <f t="shared" si="130"/>
        <v>0</v>
      </c>
      <c r="E67" s="32">
        <f t="shared" si="161"/>
        <v>0</v>
      </c>
      <c r="F67" s="32">
        <f t="shared" si="162"/>
        <v>0</v>
      </c>
      <c r="G67" s="32">
        <f t="shared" si="163"/>
        <v>0</v>
      </c>
      <c r="H67" s="32">
        <f t="shared" si="164"/>
        <v>0</v>
      </c>
      <c r="I67" s="32">
        <f t="shared" si="165"/>
        <v>0</v>
      </c>
      <c r="J67" s="32">
        <f t="shared" si="165"/>
        <v>0</v>
      </c>
      <c r="K67" s="32">
        <f t="shared" si="132"/>
        <v>0</v>
      </c>
      <c r="L67" s="32">
        <f t="shared" si="133"/>
        <v>0</v>
      </c>
      <c r="N67" s="31">
        <f t="shared" si="135"/>
        <v>0</v>
      </c>
      <c r="O67" s="31">
        <f t="shared" si="166"/>
        <v>0</v>
      </c>
      <c r="P67" s="31">
        <f t="shared" si="167"/>
        <v>0</v>
      </c>
      <c r="Q67" s="31">
        <f t="shared" si="168"/>
        <v>0</v>
      </c>
      <c r="R67" s="31">
        <f t="shared" si="169"/>
        <v>0</v>
      </c>
      <c r="S67" s="31">
        <f t="shared" si="170"/>
        <v>0</v>
      </c>
      <c r="T67" s="31">
        <f t="shared" si="171"/>
        <v>0</v>
      </c>
      <c r="U67" s="31">
        <f t="shared" si="171"/>
        <v>0</v>
      </c>
      <c r="V67" s="31">
        <f t="shared" si="137"/>
        <v>0</v>
      </c>
      <c r="W67" s="31">
        <f t="shared" si="138"/>
        <v>0</v>
      </c>
    </row>
    <row r="68" spans="1:24" x14ac:dyDescent="0.2">
      <c r="A68" s="1" t="s">
        <v>58</v>
      </c>
      <c r="B68" s="54" t="s">
        <v>4</v>
      </c>
      <c r="C68" s="288">
        <v>4000</v>
      </c>
      <c r="D68" s="289">
        <f t="shared" ref="D68" si="172">ROUNDUP(+C68*$Z$4,-2)</f>
        <v>4200</v>
      </c>
      <c r="E68" s="289">
        <f t="shared" ref="E68" si="173">ROUNDUP(+D68*$Z$4,-2)</f>
        <v>4400</v>
      </c>
      <c r="F68" s="289">
        <f t="shared" ref="F68" si="174">ROUNDUP(+E68*$Z$4,-2)</f>
        <v>4600</v>
      </c>
      <c r="G68" s="289">
        <f t="shared" ref="G68" si="175">ROUNDUP(+F68*$Z$4,-2)</f>
        <v>4800</v>
      </c>
      <c r="H68" s="289">
        <f t="shared" ref="H68" si="176">ROUNDUP(+G68*$Z$4,-2)</f>
        <v>5000</v>
      </c>
      <c r="I68" s="289">
        <f t="shared" ref="I68" si="177">ROUNDUP(+H68*$Z$4,-2)</f>
        <v>5200</v>
      </c>
      <c r="J68" s="289">
        <f t="shared" ref="J68" si="178">ROUNDUP(+I68*$Z$4,-2)</f>
        <v>5400</v>
      </c>
      <c r="K68" s="289">
        <f t="shared" ref="K68" si="179">ROUNDUP(+J68*$Z$4,-2)</f>
        <v>5600</v>
      </c>
      <c r="L68" s="289">
        <f t="shared" ref="L68" si="180">ROUNDUP(+K68*$Z$4,-2)</f>
        <v>5800</v>
      </c>
      <c r="O68" s="18"/>
      <c r="P68" s="18"/>
      <c r="Q68" s="18"/>
      <c r="R68" s="18"/>
      <c r="S68" s="18"/>
      <c r="T68" s="18"/>
      <c r="U68" s="18"/>
      <c r="V68" s="18"/>
      <c r="W68" s="18"/>
    </row>
    <row r="69" spans="1:24" x14ac:dyDescent="0.2">
      <c r="A69" s="1" t="s">
        <v>99</v>
      </c>
      <c r="B69" s="54" t="s">
        <v>100</v>
      </c>
      <c r="C69" s="34">
        <v>3500</v>
      </c>
      <c r="D69" s="36">
        <f t="shared" ref="D69:D80" si="181">ROUNDUP(+C69*$Z$4,-2)</f>
        <v>3600</v>
      </c>
      <c r="E69" s="36">
        <f t="shared" ref="E69:J70" si="182">ROUNDUP(+D69*$Z$4,-2)</f>
        <v>3800</v>
      </c>
      <c r="F69" s="36">
        <f t="shared" si="182"/>
        <v>4000</v>
      </c>
      <c r="G69" s="36">
        <f t="shared" si="182"/>
        <v>4200</v>
      </c>
      <c r="H69" s="36">
        <f t="shared" si="182"/>
        <v>4400</v>
      </c>
      <c r="I69" s="36">
        <f t="shared" si="182"/>
        <v>4600</v>
      </c>
      <c r="J69" s="36">
        <f t="shared" si="182"/>
        <v>4800</v>
      </c>
      <c r="K69" s="36">
        <f t="shared" ref="K69:K80" si="183">ROUNDUP(+J69*$Z$4,-2)</f>
        <v>5000</v>
      </c>
      <c r="L69" s="36">
        <f t="shared" ref="L69:L80" si="184">ROUNDUP(+K69*$Z$4,-2)</f>
        <v>5200</v>
      </c>
    </row>
    <row r="70" spans="1:24" x14ac:dyDescent="0.2">
      <c r="A70" s="1" t="s">
        <v>59</v>
      </c>
      <c r="B70" s="54" t="s">
        <v>3</v>
      </c>
      <c r="C70" s="34">
        <v>6000</v>
      </c>
      <c r="D70" s="36">
        <f t="shared" si="181"/>
        <v>6200</v>
      </c>
      <c r="E70" s="36">
        <f>ROUNDUP(+D70*$Z$4,-2)</f>
        <v>6400</v>
      </c>
      <c r="F70" s="36">
        <f t="shared" si="182"/>
        <v>6600</v>
      </c>
      <c r="G70" s="36">
        <f t="shared" si="182"/>
        <v>6800</v>
      </c>
      <c r="H70" s="36">
        <f t="shared" si="182"/>
        <v>7000</v>
      </c>
      <c r="I70" s="36">
        <f t="shared" si="182"/>
        <v>7200</v>
      </c>
      <c r="J70" s="36">
        <f t="shared" si="182"/>
        <v>7500</v>
      </c>
      <c r="K70" s="36">
        <f t="shared" si="183"/>
        <v>7800</v>
      </c>
      <c r="L70" s="36">
        <f t="shared" si="184"/>
        <v>8100</v>
      </c>
    </row>
    <row r="71" spans="1:24" x14ac:dyDescent="0.2">
      <c r="A71" t="s">
        <v>60</v>
      </c>
      <c r="B71" s="54" t="s">
        <v>21</v>
      </c>
      <c r="C71" s="34">
        <v>0</v>
      </c>
      <c r="D71" s="36">
        <f t="shared" si="181"/>
        <v>0</v>
      </c>
      <c r="E71" s="36">
        <f>ROUNDUP(+D71*$Z$4,-2)</f>
        <v>0</v>
      </c>
      <c r="F71" s="36">
        <f t="shared" ref="F71:F80" si="185">ROUNDUP(+E71*$Z$4,-2)</f>
        <v>0</v>
      </c>
      <c r="G71" s="36">
        <f t="shared" ref="G71:G80" si="186">ROUNDUP(+F71*$Z$4,-2)</f>
        <v>0</v>
      </c>
      <c r="H71" s="36">
        <f t="shared" ref="H71:H80" si="187">ROUNDUP(+G71*$Z$4,-2)</f>
        <v>0</v>
      </c>
      <c r="I71" s="36">
        <f t="shared" ref="I71:J80" si="188">ROUNDUP(+H71*$Z$4,-2)</f>
        <v>0</v>
      </c>
      <c r="J71" s="36">
        <f t="shared" si="188"/>
        <v>0</v>
      </c>
      <c r="K71" s="36">
        <f t="shared" si="183"/>
        <v>0</v>
      </c>
      <c r="L71" s="36">
        <f t="shared" si="184"/>
        <v>0</v>
      </c>
      <c r="X71" s="3"/>
    </row>
    <row r="72" spans="1:24" x14ac:dyDescent="0.2">
      <c r="A72" t="s">
        <v>187</v>
      </c>
      <c r="B72" s="54" t="s">
        <v>92</v>
      </c>
      <c r="C72" s="34">
        <v>0</v>
      </c>
      <c r="D72" s="36">
        <f t="shared" si="181"/>
        <v>0</v>
      </c>
      <c r="E72" s="36">
        <f t="shared" ref="E72:E80" si="189">ROUNDUP(+D72*$Z$4,-2)</f>
        <v>0</v>
      </c>
      <c r="F72" s="36">
        <f t="shared" si="185"/>
        <v>0</v>
      </c>
      <c r="G72" s="36">
        <f t="shared" si="186"/>
        <v>0</v>
      </c>
      <c r="H72" s="36">
        <f t="shared" si="187"/>
        <v>0</v>
      </c>
      <c r="I72" s="36">
        <f t="shared" si="188"/>
        <v>0</v>
      </c>
      <c r="J72" s="36">
        <f t="shared" si="188"/>
        <v>0</v>
      </c>
      <c r="K72" s="36">
        <f t="shared" si="183"/>
        <v>0</v>
      </c>
      <c r="L72" s="36">
        <f t="shared" si="184"/>
        <v>0</v>
      </c>
      <c r="X72" s="3"/>
    </row>
    <row r="73" spans="1:24" x14ac:dyDescent="0.2">
      <c r="A73" t="s">
        <v>188</v>
      </c>
      <c r="B73" s="54" t="s">
        <v>93</v>
      </c>
      <c r="C73" s="34">
        <v>0</v>
      </c>
      <c r="D73" s="36">
        <f t="shared" si="181"/>
        <v>0</v>
      </c>
      <c r="E73" s="36">
        <f t="shared" si="189"/>
        <v>0</v>
      </c>
      <c r="F73" s="36">
        <f t="shared" si="185"/>
        <v>0</v>
      </c>
      <c r="G73" s="36">
        <f t="shared" si="186"/>
        <v>0</v>
      </c>
      <c r="H73" s="36">
        <f t="shared" si="187"/>
        <v>0</v>
      </c>
      <c r="I73" s="36">
        <f t="shared" si="188"/>
        <v>0</v>
      </c>
      <c r="J73" s="36">
        <f t="shared" si="188"/>
        <v>0</v>
      </c>
      <c r="K73" s="36">
        <f t="shared" si="183"/>
        <v>0</v>
      </c>
      <c r="L73" s="36">
        <f t="shared" si="184"/>
        <v>0</v>
      </c>
      <c r="X73" s="3"/>
    </row>
    <row r="74" spans="1:24" x14ac:dyDescent="0.2">
      <c r="A74" t="s">
        <v>189</v>
      </c>
      <c r="B74" s="54" t="s">
        <v>5</v>
      </c>
      <c r="C74" s="34">
        <v>0</v>
      </c>
      <c r="D74" s="36">
        <f t="shared" si="181"/>
        <v>0</v>
      </c>
      <c r="E74" s="36">
        <f t="shared" si="189"/>
        <v>0</v>
      </c>
      <c r="F74" s="36">
        <f t="shared" si="185"/>
        <v>0</v>
      </c>
      <c r="G74" s="36">
        <f t="shared" si="186"/>
        <v>0</v>
      </c>
      <c r="H74" s="36">
        <f t="shared" si="187"/>
        <v>0</v>
      </c>
      <c r="I74" s="36">
        <f t="shared" si="188"/>
        <v>0</v>
      </c>
      <c r="J74" s="36">
        <f t="shared" si="188"/>
        <v>0</v>
      </c>
      <c r="K74" s="36">
        <f t="shared" si="183"/>
        <v>0</v>
      </c>
      <c r="L74" s="36">
        <f t="shared" si="184"/>
        <v>0</v>
      </c>
      <c r="X74" s="3"/>
    </row>
    <row r="75" spans="1:24" x14ac:dyDescent="0.2">
      <c r="A75" t="s">
        <v>190</v>
      </c>
      <c r="B75" s="54" t="s">
        <v>117</v>
      </c>
      <c r="C75" s="34">
        <v>0</v>
      </c>
      <c r="D75" s="36">
        <f t="shared" si="181"/>
        <v>0</v>
      </c>
      <c r="E75" s="36">
        <f t="shared" si="189"/>
        <v>0</v>
      </c>
      <c r="F75" s="36">
        <f t="shared" si="185"/>
        <v>0</v>
      </c>
      <c r="G75" s="36">
        <f t="shared" si="186"/>
        <v>0</v>
      </c>
      <c r="H75" s="36">
        <f t="shared" si="187"/>
        <v>0</v>
      </c>
      <c r="I75" s="36">
        <f t="shared" si="188"/>
        <v>0</v>
      </c>
      <c r="J75" s="36">
        <f t="shared" si="188"/>
        <v>0</v>
      </c>
      <c r="K75" s="36">
        <f t="shared" si="183"/>
        <v>0</v>
      </c>
      <c r="L75" s="36">
        <f t="shared" si="184"/>
        <v>0</v>
      </c>
      <c r="X75" s="3"/>
    </row>
    <row r="76" spans="1:24" x14ac:dyDescent="0.2">
      <c r="A76" t="s">
        <v>191</v>
      </c>
      <c r="B76" s="54" t="s">
        <v>94</v>
      </c>
      <c r="C76" s="34">
        <v>0</v>
      </c>
      <c r="D76" s="36">
        <f t="shared" si="181"/>
        <v>0</v>
      </c>
      <c r="E76" s="36">
        <f t="shared" si="189"/>
        <v>0</v>
      </c>
      <c r="F76" s="36">
        <f t="shared" si="185"/>
        <v>0</v>
      </c>
      <c r="G76" s="36">
        <f t="shared" si="186"/>
        <v>0</v>
      </c>
      <c r="H76" s="36">
        <f t="shared" si="187"/>
        <v>0</v>
      </c>
      <c r="I76" s="36">
        <f t="shared" si="188"/>
        <v>0</v>
      </c>
      <c r="J76" s="36">
        <f t="shared" si="188"/>
        <v>0</v>
      </c>
      <c r="K76" s="36">
        <f t="shared" si="183"/>
        <v>0</v>
      </c>
      <c r="L76" s="36">
        <f t="shared" si="184"/>
        <v>0</v>
      </c>
      <c r="X76" s="3"/>
    </row>
    <row r="77" spans="1:24" x14ac:dyDescent="0.2">
      <c r="A77" t="s">
        <v>192</v>
      </c>
      <c r="B77" s="54" t="s">
        <v>115</v>
      </c>
      <c r="C77" s="34">
        <v>0</v>
      </c>
      <c r="D77" s="36">
        <f t="shared" si="181"/>
        <v>0</v>
      </c>
      <c r="E77" s="36">
        <f t="shared" si="189"/>
        <v>0</v>
      </c>
      <c r="F77" s="36">
        <f t="shared" si="185"/>
        <v>0</v>
      </c>
      <c r="G77" s="36">
        <f t="shared" si="186"/>
        <v>0</v>
      </c>
      <c r="H77" s="36">
        <f t="shared" si="187"/>
        <v>0</v>
      </c>
      <c r="I77" s="36">
        <f t="shared" si="188"/>
        <v>0</v>
      </c>
      <c r="J77" s="36">
        <f t="shared" si="188"/>
        <v>0</v>
      </c>
      <c r="K77" s="36">
        <f t="shared" si="183"/>
        <v>0</v>
      </c>
      <c r="L77" s="36">
        <f t="shared" si="184"/>
        <v>0</v>
      </c>
      <c r="X77" s="3"/>
    </row>
    <row r="78" spans="1:24" x14ac:dyDescent="0.2">
      <c r="A78" t="s">
        <v>193</v>
      </c>
      <c r="B78" s="54" t="s">
        <v>116</v>
      </c>
      <c r="C78" s="34">
        <v>0</v>
      </c>
      <c r="D78" s="36">
        <f t="shared" si="181"/>
        <v>0</v>
      </c>
      <c r="E78" s="36">
        <f t="shared" si="189"/>
        <v>0</v>
      </c>
      <c r="F78" s="36">
        <f t="shared" si="185"/>
        <v>0</v>
      </c>
      <c r="G78" s="36">
        <f t="shared" si="186"/>
        <v>0</v>
      </c>
      <c r="H78" s="36">
        <f t="shared" si="187"/>
        <v>0</v>
      </c>
      <c r="I78" s="36">
        <f t="shared" si="188"/>
        <v>0</v>
      </c>
      <c r="J78" s="36">
        <f t="shared" si="188"/>
        <v>0</v>
      </c>
      <c r="K78" s="36">
        <f t="shared" si="183"/>
        <v>0</v>
      </c>
      <c r="L78" s="36">
        <f t="shared" si="184"/>
        <v>0</v>
      </c>
      <c r="X78" s="3"/>
    </row>
    <row r="79" spans="1:24" x14ac:dyDescent="0.2">
      <c r="A79" t="s">
        <v>194</v>
      </c>
      <c r="B79" s="54" t="s">
        <v>6</v>
      </c>
      <c r="C79" s="34">
        <v>0</v>
      </c>
      <c r="D79" s="36">
        <f t="shared" si="181"/>
        <v>0</v>
      </c>
      <c r="E79" s="36">
        <f t="shared" si="189"/>
        <v>0</v>
      </c>
      <c r="F79" s="36">
        <f t="shared" si="185"/>
        <v>0</v>
      </c>
      <c r="G79" s="36">
        <f t="shared" si="186"/>
        <v>0</v>
      </c>
      <c r="H79" s="36">
        <f t="shared" si="187"/>
        <v>0</v>
      </c>
      <c r="I79" s="36">
        <f t="shared" si="188"/>
        <v>0</v>
      </c>
      <c r="J79" s="36">
        <f t="shared" si="188"/>
        <v>0</v>
      </c>
      <c r="K79" s="36">
        <f t="shared" si="183"/>
        <v>0</v>
      </c>
      <c r="L79" s="36">
        <f t="shared" si="184"/>
        <v>0</v>
      </c>
      <c r="X79" s="3"/>
    </row>
    <row r="80" spans="1:24" x14ac:dyDescent="0.2">
      <c r="A80" t="s">
        <v>195</v>
      </c>
      <c r="B80" s="54" t="s">
        <v>95</v>
      </c>
      <c r="C80" s="34">
        <v>0</v>
      </c>
      <c r="D80" s="36">
        <f t="shared" si="181"/>
        <v>0</v>
      </c>
      <c r="E80" s="36">
        <f t="shared" si="189"/>
        <v>0</v>
      </c>
      <c r="F80" s="36">
        <f t="shared" si="185"/>
        <v>0</v>
      </c>
      <c r="G80" s="36">
        <f t="shared" si="186"/>
        <v>0</v>
      </c>
      <c r="H80" s="36">
        <f t="shared" si="187"/>
        <v>0</v>
      </c>
      <c r="I80" s="36">
        <f t="shared" si="188"/>
        <v>0</v>
      </c>
      <c r="J80" s="36">
        <f t="shared" si="188"/>
        <v>0</v>
      </c>
      <c r="K80" s="36">
        <f t="shared" si="183"/>
        <v>0</v>
      </c>
      <c r="L80" s="36">
        <f t="shared" si="184"/>
        <v>0</v>
      </c>
      <c r="X80" s="3"/>
    </row>
    <row r="81" spans="1:24" x14ac:dyDescent="0.2">
      <c r="A81" s="1" t="s">
        <v>103</v>
      </c>
      <c r="B81" s="54"/>
      <c r="C81" s="34">
        <v>8000</v>
      </c>
      <c r="D81" s="36">
        <f>+C81</f>
        <v>8000</v>
      </c>
      <c r="E81" s="36">
        <f t="shared" ref="E81:J81" si="190">+D81</f>
        <v>8000</v>
      </c>
      <c r="F81" s="36">
        <f t="shared" si="190"/>
        <v>8000</v>
      </c>
      <c r="G81" s="36">
        <f t="shared" si="190"/>
        <v>8000</v>
      </c>
      <c r="H81" s="36">
        <f t="shared" si="190"/>
        <v>8000</v>
      </c>
      <c r="I81" s="36">
        <f t="shared" si="190"/>
        <v>8000</v>
      </c>
      <c r="J81" s="36">
        <f t="shared" si="190"/>
        <v>8000</v>
      </c>
      <c r="K81" s="36">
        <f t="shared" ref="K81" si="191">+J81</f>
        <v>8000</v>
      </c>
      <c r="L81" s="36">
        <f t="shared" ref="L81" si="192">+K81</f>
        <v>8000</v>
      </c>
      <c r="X81" s="3"/>
    </row>
    <row r="82" spans="1:24" x14ac:dyDescent="0.2">
      <c r="A82" t="s">
        <v>104</v>
      </c>
      <c r="B82" s="54"/>
      <c r="C82" s="34">
        <v>250000</v>
      </c>
      <c r="D82" s="34">
        <v>250000</v>
      </c>
      <c r="E82" s="34">
        <v>250000</v>
      </c>
      <c r="F82" s="34">
        <v>250000</v>
      </c>
      <c r="G82" s="34">
        <v>250000</v>
      </c>
      <c r="H82" s="34">
        <v>250000</v>
      </c>
      <c r="I82" s="34">
        <v>250000</v>
      </c>
      <c r="J82" s="34">
        <v>250000</v>
      </c>
      <c r="K82" s="34">
        <v>250000</v>
      </c>
      <c r="L82" s="34">
        <v>250000</v>
      </c>
      <c r="X82" s="3"/>
    </row>
    <row r="83" spans="1:24" x14ac:dyDescent="0.2">
      <c r="X83" s="3"/>
    </row>
    <row r="84" spans="1:24" x14ac:dyDescent="0.2">
      <c r="C84" s="60"/>
      <c r="X84" s="3"/>
    </row>
    <row r="85" spans="1:24" x14ac:dyDescent="0.2">
      <c r="X85" s="3"/>
    </row>
    <row r="86" spans="1:24" x14ac:dyDescent="0.2">
      <c r="X86" s="3"/>
    </row>
    <row r="87" spans="1:24" x14ac:dyDescent="0.2">
      <c r="N87" s="3"/>
    </row>
    <row r="88" spans="1:24" x14ac:dyDescent="0.2">
      <c r="N88" s="3"/>
    </row>
    <row r="89" spans="1:24" x14ac:dyDescent="0.2">
      <c r="N89" s="3"/>
      <c r="U89" s="1"/>
      <c r="V89" s="1"/>
      <c r="W89" s="1"/>
    </row>
    <row r="90" spans="1:24" x14ac:dyDescent="0.2">
      <c r="N90" s="3"/>
      <c r="U90" s="1"/>
      <c r="V90" s="1"/>
      <c r="W90" s="1"/>
    </row>
    <row r="91" spans="1:24" x14ac:dyDescent="0.2">
      <c r="N91" s="3"/>
      <c r="U91" s="1"/>
      <c r="V91" s="1"/>
      <c r="W91" s="1"/>
    </row>
    <row r="92" spans="1:24" x14ac:dyDescent="0.2">
      <c r="N92" s="3"/>
      <c r="U92" s="1"/>
      <c r="V92" s="1"/>
      <c r="W92" s="1"/>
    </row>
    <row r="93" spans="1:24" x14ac:dyDescent="0.2">
      <c r="N93" s="3"/>
      <c r="U93" s="1"/>
      <c r="V93" s="1"/>
      <c r="W93" s="1"/>
    </row>
    <row r="94" spans="1:24" x14ac:dyDescent="0.2">
      <c r="N94" s="3"/>
      <c r="U94" s="1"/>
      <c r="V94" s="1"/>
      <c r="W94" s="1"/>
    </row>
    <row r="95" spans="1:24" x14ac:dyDescent="0.2">
      <c r="N95" s="3"/>
      <c r="U95" s="1"/>
      <c r="V95" s="1"/>
      <c r="W95" s="1"/>
    </row>
    <row r="96" spans="1:24" x14ac:dyDescent="0.2">
      <c r="N96" s="3"/>
      <c r="U96" s="1"/>
      <c r="V96" s="1"/>
      <c r="W96" s="1"/>
    </row>
    <row r="97" spans="14:23" x14ac:dyDescent="0.2">
      <c r="N97" s="3"/>
      <c r="U97" s="1"/>
      <c r="V97" s="1"/>
      <c r="W97" s="1"/>
    </row>
    <row r="98" spans="14:23" x14ac:dyDescent="0.2">
      <c r="N98" s="3"/>
      <c r="U98" s="1"/>
      <c r="V98" s="1"/>
      <c r="W98" s="1"/>
    </row>
    <row r="99" spans="14:23" x14ac:dyDescent="0.2">
      <c r="N99" s="3"/>
      <c r="U99" s="1"/>
      <c r="V99" s="1"/>
      <c r="W99" s="1"/>
    </row>
  </sheetData>
  <mergeCells count="2">
    <mergeCell ref="C2:I2"/>
    <mergeCell ref="N2:T2"/>
  </mergeCells>
  <dataValidations count="1">
    <dataValidation type="list" allowBlank="1" showInputMessage="1" showErrorMessage="1" sqref="B24:B30 B6:B22" xr:uid="{00000000-0002-0000-0100-000000000000}">
      <formula1>"PhD"</formula1>
    </dataValidation>
  </dataValidations>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F768-4877-4938-8A23-0B9B219475D8}">
  <dimension ref="A1:A315"/>
  <sheetViews>
    <sheetView topLeftCell="A1959" workbookViewId="0"/>
  </sheetViews>
  <sheetFormatPr defaultRowHeight="14.25" x14ac:dyDescent="0.2"/>
  <cols>
    <col min="1" max="1" width="53.125" bestFit="1" customWidth="1"/>
    <col min="2" max="2" width="54.625" bestFit="1" customWidth="1"/>
  </cols>
  <sheetData>
    <row r="1" spans="1:1" x14ac:dyDescent="0.2">
      <c r="A1" t="s">
        <v>965</v>
      </c>
    </row>
    <row r="2" spans="1:1" x14ac:dyDescent="0.2">
      <c r="A2" t="s">
        <v>210</v>
      </c>
    </row>
    <row r="3" spans="1:1" x14ac:dyDescent="0.2">
      <c r="A3" t="s">
        <v>386</v>
      </c>
    </row>
    <row r="4" spans="1:1" x14ac:dyDescent="0.2">
      <c r="A4" t="s">
        <v>387</v>
      </c>
    </row>
    <row r="5" spans="1:1" x14ac:dyDescent="0.2">
      <c r="A5" t="s">
        <v>523</v>
      </c>
    </row>
    <row r="6" spans="1:1" x14ac:dyDescent="0.2">
      <c r="A6" t="s">
        <v>306</v>
      </c>
    </row>
    <row r="7" spans="1:1" x14ac:dyDescent="0.2">
      <c r="A7" t="s">
        <v>389</v>
      </c>
    </row>
    <row r="8" spans="1:1" x14ac:dyDescent="0.2">
      <c r="A8" t="s">
        <v>388</v>
      </c>
    </row>
    <row r="9" spans="1:1" x14ac:dyDescent="0.2">
      <c r="A9" t="s">
        <v>297</v>
      </c>
    </row>
    <row r="10" spans="1:1" x14ac:dyDescent="0.2">
      <c r="A10" t="s">
        <v>298</v>
      </c>
    </row>
    <row r="11" spans="1:1" x14ac:dyDescent="0.2">
      <c r="A11" t="s">
        <v>827</v>
      </c>
    </row>
    <row r="12" spans="1:1" x14ac:dyDescent="0.2">
      <c r="A12" t="s">
        <v>390</v>
      </c>
    </row>
    <row r="13" spans="1:1" x14ac:dyDescent="0.2">
      <c r="A13" t="s">
        <v>510</v>
      </c>
    </row>
    <row r="14" spans="1:1" x14ac:dyDescent="0.2">
      <c r="A14" t="s">
        <v>828</v>
      </c>
    </row>
    <row r="15" spans="1:1" x14ac:dyDescent="0.2">
      <c r="A15" t="s">
        <v>358</v>
      </c>
    </row>
    <row r="16" spans="1:1" x14ac:dyDescent="0.2">
      <c r="A16" t="s">
        <v>829</v>
      </c>
    </row>
    <row r="17" spans="1:1" x14ac:dyDescent="0.2">
      <c r="A17" t="s">
        <v>501</v>
      </c>
    </row>
    <row r="18" spans="1:1" x14ac:dyDescent="0.2">
      <c r="A18" t="s">
        <v>830</v>
      </c>
    </row>
    <row r="19" spans="1:1" x14ac:dyDescent="0.2">
      <c r="A19" t="s">
        <v>831</v>
      </c>
    </row>
    <row r="20" spans="1:1" x14ac:dyDescent="0.2">
      <c r="A20" t="s">
        <v>832</v>
      </c>
    </row>
    <row r="21" spans="1:1" x14ac:dyDescent="0.2">
      <c r="A21" t="s">
        <v>833</v>
      </c>
    </row>
    <row r="22" spans="1:1" x14ac:dyDescent="0.2">
      <c r="A22" t="s">
        <v>359</v>
      </c>
    </row>
    <row r="23" spans="1:1" x14ac:dyDescent="0.2">
      <c r="A23" t="s">
        <v>834</v>
      </c>
    </row>
    <row r="24" spans="1:1" x14ac:dyDescent="0.2">
      <c r="A24" t="s">
        <v>391</v>
      </c>
    </row>
    <row r="25" spans="1:1" x14ac:dyDescent="0.2">
      <c r="A25" t="s">
        <v>392</v>
      </c>
    </row>
    <row r="26" spans="1:1" x14ac:dyDescent="0.2">
      <c r="A26" t="s">
        <v>835</v>
      </c>
    </row>
    <row r="27" spans="1:1" x14ac:dyDescent="0.2">
      <c r="A27" t="s">
        <v>360</v>
      </c>
    </row>
    <row r="28" spans="1:1" x14ac:dyDescent="0.2">
      <c r="A28" t="s">
        <v>487</v>
      </c>
    </row>
    <row r="29" spans="1:1" x14ac:dyDescent="0.2">
      <c r="A29" t="s">
        <v>836</v>
      </c>
    </row>
    <row r="30" spans="1:1" x14ac:dyDescent="0.2">
      <c r="A30" t="s">
        <v>361</v>
      </c>
    </row>
    <row r="31" spans="1:1" x14ac:dyDescent="0.2">
      <c r="A31" t="s">
        <v>502</v>
      </c>
    </row>
    <row r="32" spans="1:1" x14ac:dyDescent="0.2">
      <c r="A32" t="s">
        <v>837</v>
      </c>
    </row>
    <row r="33" spans="1:1" x14ac:dyDescent="0.2">
      <c r="A33" t="s">
        <v>838</v>
      </c>
    </row>
    <row r="34" spans="1:1" x14ac:dyDescent="0.2">
      <c r="A34" t="s">
        <v>394</v>
      </c>
    </row>
    <row r="35" spans="1:1" x14ac:dyDescent="0.2">
      <c r="A35" t="s">
        <v>393</v>
      </c>
    </row>
    <row r="36" spans="1:1" x14ac:dyDescent="0.2">
      <c r="A36" t="s">
        <v>839</v>
      </c>
    </row>
    <row r="37" spans="1:1" x14ac:dyDescent="0.2">
      <c r="A37" t="s">
        <v>407</v>
      </c>
    </row>
    <row r="38" spans="1:1" x14ac:dyDescent="0.2">
      <c r="A38" t="s">
        <v>395</v>
      </c>
    </row>
    <row r="39" spans="1:1" x14ac:dyDescent="0.2">
      <c r="A39" t="s">
        <v>840</v>
      </c>
    </row>
    <row r="40" spans="1:1" x14ac:dyDescent="0.2">
      <c r="A40" t="s">
        <v>201</v>
      </c>
    </row>
    <row r="41" spans="1:1" x14ac:dyDescent="0.2">
      <c r="A41" t="s">
        <v>841</v>
      </c>
    </row>
    <row r="42" spans="1:1" x14ac:dyDescent="0.2">
      <c r="A42" t="s">
        <v>406</v>
      </c>
    </row>
    <row r="43" spans="1:1" x14ac:dyDescent="0.2">
      <c r="A43" t="s">
        <v>842</v>
      </c>
    </row>
    <row r="44" spans="1:1" x14ac:dyDescent="0.2">
      <c r="A44" t="s">
        <v>1343</v>
      </c>
    </row>
    <row r="45" spans="1:1" x14ac:dyDescent="0.2">
      <c r="A45" t="s">
        <v>843</v>
      </c>
    </row>
    <row r="46" spans="1:1" x14ac:dyDescent="0.2">
      <c r="A46" t="s">
        <v>503</v>
      </c>
    </row>
    <row r="47" spans="1:1" x14ac:dyDescent="0.2">
      <c r="A47" t="s">
        <v>844</v>
      </c>
    </row>
    <row r="48" spans="1:1" x14ac:dyDescent="0.2">
      <c r="A48" t="s">
        <v>845</v>
      </c>
    </row>
    <row r="49" spans="1:1" x14ac:dyDescent="0.2">
      <c r="A49" t="s">
        <v>365</v>
      </c>
    </row>
    <row r="50" spans="1:1" x14ac:dyDescent="0.2">
      <c r="A50" t="s">
        <v>366</v>
      </c>
    </row>
    <row r="51" spans="1:1" x14ac:dyDescent="0.2">
      <c r="A51" t="s">
        <v>367</v>
      </c>
    </row>
    <row r="52" spans="1:1" x14ac:dyDescent="0.2">
      <c r="A52" t="s">
        <v>362</v>
      </c>
    </row>
    <row r="53" spans="1:1" x14ac:dyDescent="0.2">
      <c r="A53" t="s">
        <v>209</v>
      </c>
    </row>
    <row r="54" spans="1:1" x14ac:dyDescent="0.2">
      <c r="A54" t="s">
        <v>315</v>
      </c>
    </row>
    <row r="55" spans="1:1" x14ac:dyDescent="0.2">
      <c r="A55" t="s">
        <v>317</v>
      </c>
    </row>
    <row r="56" spans="1:1" x14ac:dyDescent="0.2">
      <c r="A56" t="s">
        <v>318</v>
      </c>
    </row>
    <row r="57" spans="1:1" x14ac:dyDescent="0.2">
      <c r="A57" t="s">
        <v>307</v>
      </c>
    </row>
    <row r="58" spans="1:1" x14ac:dyDescent="0.2">
      <c r="A58" t="s">
        <v>363</v>
      </c>
    </row>
    <row r="59" spans="1:1" x14ac:dyDescent="0.2">
      <c r="A59" t="s">
        <v>846</v>
      </c>
    </row>
    <row r="60" spans="1:1" x14ac:dyDescent="0.2">
      <c r="A60" t="s">
        <v>319</v>
      </c>
    </row>
    <row r="61" spans="1:1" x14ac:dyDescent="0.2">
      <c r="A61" t="s">
        <v>847</v>
      </c>
    </row>
    <row r="62" spans="1:1" x14ac:dyDescent="0.2">
      <c r="A62" t="s">
        <v>320</v>
      </c>
    </row>
    <row r="63" spans="1:1" x14ac:dyDescent="0.2">
      <c r="A63" t="s">
        <v>321</v>
      </c>
    </row>
    <row r="64" spans="1:1" x14ac:dyDescent="0.2">
      <c r="A64" t="s">
        <v>364</v>
      </c>
    </row>
    <row r="65" spans="1:1" x14ac:dyDescent="0.2">
      <c r="A65" t="s">
        <v>408</v>
      </c>
    </row>
    <row r="66" spans="1:1" x14ac:dyDescent="0.2">
      <c r="A66" t="s">
        <v>322</v>
      </c>
    </row>
    <row r="67" spans="1:1" x14ac:dyDescent="0.2">
      <c r="A67" t="s">
        <v>848</v>
      </c>
    </row>
    <row r="68" spans="1:1" x14ac:dyDescent="0.2">
      <c r="A68" t="s">
        <v>849</v>
      </c>
    </row>
    <row r="69" spans="1:1" x14ac:dyDescent="0.2">
      <c r="A69" t="s">
        <v>409</v>
      </c>
    </row>
    <row r="70" spans="1:1" x14ac:dyDescent="0.2">
      <c r="A70" t="s">
        <v>309</v>
      </c>
    </row>
    <row r="71" spans="1:1" x14ac:dyDescent="0.2">
      <c r="A71" t="s">
        <v>850</v>
      </c>
    </row>
    <row r="72" spans="1:1" x14ac:dyDescent="0.2">
      <c r="A72" t="s">
        <v>851</v>
      </c>
    </row>
    <row r="73" spans="1:1" x14ac:dyDescent="0.2">
      <c r="A73" t="s">
        <v>410</v>
      </c>
    </row>
    <row r="74" spans="1:1" x14ac:dyDescent="0.2">
      <c r="A74" t="s">
        <v>411</v>
      </c>
    </row>
    <row r="75" spans="1:1" x14ac:dyDescent="0.2">
      <c r="A75" t="s">
        <v>852</v>
      </c>
    </row>
    <row r="76" spans="1:1" x14ac:dyDescent="0.2">
      <c r="A76" t="s">
        <v>368</v>
      </c>
    </row>
    <row r="77" spans="1:1" x14ac:dyDescent="0.2">
      <c r="A77" t="s">
        <v>853</v>
      </c>
    </row>
    <row r="78" spans="1:1" x14ac:dyDescent="0.2">
      <c r="A78" t="s">
        <v>854</v>
      </c>
    </row>
    <row r="79" spans="1:1" x14ac:dyDescent="0.2">
      <c r="A79" t="s">
        <v>855</v>
      </c>
    </row>
    <row r="80" spans="1:1" x14ac:dyDescent="0.2">
      <c r="A80" t="s">
        <v>326</v>
      </c>
    </row>
    <row r="81" spans="1:1" x14ac:dyDescent="0.2">
      <c r="A81" t="s">
        <v>412</v>
      </c>
    </row>
    <row r="82" spans="1:1" x14ac:dyDescent="0.2">
      <c r="A82" t="s">
        <v>856</v>
      </c>
    </row>
    <row r="83" spans="1:1" x14ac:dyDescent="0.2">
      <c r="A83" t="s">
        <v>413</v>
      </c>
    </row>
    <row r="84" spans="1:1" x14ac:dyDescent="0.2">
      <c r="A84" t="s">
        <v>857</v>
      </c>
    </row>
    <row r="85" spans="1:1" x14ac:dyDescent="0.2">
      <c r="A85" t="s">
        <v>414</v>
      </c>
    </row>
    <row r="86" spans="1:1" x14ac:dyDescent="0.2">
      <c r="A86" t="s">
        <v>323</v>
      </c>
    </row>
    <row r="87" spans="1:1" x14ac:dyDescent="0.2">
      <c r="A87" t="s">
        <v>324</v>
      </c>
    </row>
    <row r="88" spans="1:1" x14ac:dyDescent="0.2">
      <c r="A88" t="s">
        <v>325</v>
      </c>
    </row>
    <row r="89" spans="1:1" x14ac:dyDescent="0.2">
      <c r="A89" t="s">
        <v>488</v>
      </c>
    </row>
    <row r="90" spans="1:1" x14ac:dyDescent="0.2">
      <c r="A90" t="s">
        <v>858</v>
      </c>
    </row>
    <row r="91" spans="1:1" x14ac:dyDescent="0.2">
      <c r="A91" t="s">
        <v>859</v>
      </c>
    </row>
    <row r="92" spans="1:1" x14ac:dyDescent="0.2">
      <c r="A92" t="s">
        <v>860</v>
      </c>
    </row>
    <row r="93" spans="1:1" x14ac:dyDescent="0.2">
      <c r="A93" t="s">
        <v>861</v>
      </c>
    </row>
    <row r="94" spans="1:1" x14ac:dyDescent="0.2">
      <c r="A94" t="s">
        <v>524</v>
      </c>
    </row>
    <row r="95" spans="1:1" x14ac:dyDescent="0.2">
      <c r="A95" t="s">
        <v>862</v>
      </c>
    </row>
    <row r="96" spans="1:1" x14ac:dyDescent="0.2">
      <c r="A96" t="s">
        <v>863</v>
      </c>
    </row>
    <row r="97" spans="1:1" x14ac:dyDescent="0.2">
      <c r="A97" t="s">
        <v>511</v>
      </c>
    </row>
    <row r="98" spans="1:1" x14ac:dyDescent="0.2">
      <c r="A98" t="s">
        <v>864</v>
      </c>
    </row>
    <row r="99" spans="1:1" x14ac:dyDescent="0.2">
      <c r="A99" t="s">
        <v>865</v>
      </c>
    </row>
    <row r="100" spans="1:1" x14ac:dyDescent="0.2">
      <c r="A100" t="s">
        <v>327</v>
      </c>
    </row>
    <row r="101" spans="1:1" x14ac:dyDescent="0.2">
      <c r="A101" t="s">
        <v>866</v>
      </c>
    </row>
    <row r="102" spans="1:1" x14ac:dyDescent="0.2">
      <c r="A102" t="s">
        <v>512</v>
      </c>
    </row>
    <row r="103" spans="1:1" x14ac:dyDescent="0.2">
      <c r="A103" t="s">
        <v>867</v>
      </c>
    </row>
    <row r="104" spans="1:1" x14ac:dyDescent="0.2">
      <c r="A104" t="s">
        <v>868</v>
      </c>
    </row>
    <row r="105" spans="1:1" x14ac:dyDescent="0.2">
      <c r="A105" t="s">
        <v>869</v>
      </c>
    </row>
    <row r="106" spans="1:1" x14ac:dyDescent="0.2">
      <c r="A106" t="s">
        <v>328</v>
      </c>
    </row>
    <row r="107" spans="1:1" x14ac:dyDescent="0.2">
      <c r="A107" t="s">
        <v>415</v>
      </c>
    </row>
    <row r="108" spans="1:1" x14ac:dyDescent="0.2">
      <c r="A108" t="s">
        <v>530</v>
      </c>
    </row>
    <row r="109" spans="1:1" x14ac:dyDescent="0.2">
      <c r="A109" t="s">
        <v>310</v>
      </c>
    </row>
    <row r="110" spans="1:1" x14ac:dyDescent="0.2">
      <c r="A110" t="s">
        <v>534</v>
      </c>
    </row>
    <row r="111" spans="1:1" x14ac:dyDescent="0.2">
      <c r="A111" t="s">
        <v>329</v>
      </c>
    </row>
    <row r="112" spans="1:1" x14ac:dyDescent="0.2">
      <c r="A112" t="s">
        <v>330</v>
      </c>
    </row>
    <row r="113" spans="1:1" x14ac:dyDescent="0.2">
      <c r="A113" t="s">
        <v>870</v>
      </c>
    </row>
    <row r="114" spans="1:1" x14ac:dyDescent="0.2">
      <c r="A114" t="s">
        <v>871</v>
      </c>
    </row>
    <row r="115" spans="1:1" x14ac:dyDescent="0.2">
      <c r="A115" t="s">
        <v>416</v>
      </c>
    </row>
    <row r="116" spans="1:1" x14ac:dyDescent="0.2">
      <c r="A116" t="s">
        <v>331</v>
      </c>
    </row>
    <row r="117" spans="1:1" x14ac:dyDescent="0.2">
      <c r="A117" t="s">
        <v>504</v>
      </c>
    </row>
    <row r="118" spans="1:1" x14ac:dyDescent="0.2">
      <c r="A118" t="s">
        <v>332</v>
      </c>
    </row>
    <row r="119" spans="1:1" x14ac:dyDescent="0.2">
      <c r="A119" t="s">
        <v>9</v>
      </c>
    </row>
    <row r="120" spans="1:1" x14ac:dyDescent="0.2">
      <c r="A120" t="s">
        <v>872</v>
      </c>
    </row>
    <row r="121" spans="1:1" x14ac:dyDescent="0.2">
      <c r="A121" t="s">
        <v>873</v>
      </c>
    </row>
    <row r="122" spans="1:1" x14ac:dyDescent="0.2">
      <c r="A122" t="s">
        <v>417</v>
      </c>
    </row>
    <row r="123" spans="1:1" x14ac:dyDescent="0.2">
      <c r="A123" t="s">
        <v>874</v>
      </c>
    </row>
    <row r="124" spans="1:1" x14ac:dyDescent="0.2">
      <c r="A124" t="s">
        <v>418</v>
      </c>
    </row>
    <row r="125" spans="1:1" x14ac:dyDescent="0.2">
      <c r="A125" t="s">
        <v>505</v>
      </c>
    </row>
    <row r="126" spans="1:1" x14ac:dyDescent="0.2">
      <c r="A126" t="s">
        <v>1344</v>
      </c>
    </row>
    <row r="127" spans="1:1" x14ac:dyDescent="0.2">
      <c r="A127" t="s">
        <v>369</v>
      </c>
    </row>
    <row r="128" spans="1:1" x14ac:dyDescent="0.2">
      <c r="A128" t="s">
        <v>370</v>
      </c>
    </row>
    <row r="129" spans="1:1" x14ac:dyDescent="0.2">
      <c r="A129" t="s">
        <v>333</v>
      </c>
    </row>
    <row r="130" spans="1:1" x14ac:dyDescent="0.2">
      <c r="A130" t="s">
        <v>513</v>
      </c>
    </row>
    <row r="131" spans="1:1" x14ac:dyDescent="0.2">
      <c r="A131" t="s">
        <v>371</v>
      </c>
    </row>
    <row r="132" spans="1:1" x14ac:dyDescent="0.2">
      <c r="A132" t="s">
        <v>419</v>
      </c>
    </row>
    <row r="133" spans="1:1" x14ac:dyDescent="0.2">
      <c r="A133" t="s">
        <v>420</v>
      </c>
    </row>
    <row r="134" spans="1:1" x14ac:dyDescent="0.2">
      <c r="A134" t="s">
        <v>421</v>
      </c>
    </row>
    <row r="135" spans="1:1" x14ac:dyDescent="0.2">
      <c r="A135" t="s">
        <v>422</v>
      </c>
    </row>
    <row r="136" spans="1:1" x14ac:dyDescent="0.2">
      <c r="A136" t="s">
        <v>875</v>
      </c>
    </row>
    <row r="137" spans="1:1" x14ac:dyDescent="0.2">
      <c r="A137" t="s">
        <v>876</v>
      </c>
    </row>
    <row r="138" spans="1:1" x14ac:dyDescent="0.2">
      <c r="A138" t="s">
        <v>423</v>
      </c>
    </row>
    <row r="139" spans="1:1" x14ac:dyDescent="0.2">
      <c r="A139" t="s">
        <v>102</v>
      </c>
    </row>
    <row r="140" spans="1:1" x14ac:dyDescent="0.2">
      <c r="A140" t="s">
        <v>489</v>
      </c>
    </row>
    <row r="141" spans="1:1" x14ac:dyDescent="0.2">
      <c r="A141" t="s">
        <v>491</v>
      </c>
    </row>
    <row r="142" spans="1:1" x14ac:dyDescent="0.2">
      <c r="A142" t="s">
        <v>496</v>
      </c>
    </row>
    <row r="143" spans="1:1" x14ac:dyDescent="0.2">
      <c r="A143" t="s">
        <v>497</v>
      </c>
    </row>
    <row r="144" spans="1:1" x14ac:dyDescent="0.2">
      <c r="A144" t="s">
        <v>498</v>
      </c>
    </row>
    <row r="145" spans="1:1" x14ac:dyDescent="0.2">
      <c r="A145" t="s">
        <v>499</v>
      </c>
    </row>
    <row r="146" spans="1:1" x14ac:dyDescent="0.2">
      <c r="A146" t="s">
        <v>372</v>
      </c>
    </row>
    <row r="147" spans="1:1" x14ac:dyDescent="0.2">
      <c r="A147" t="s">
        <v>514</v>
      </c>
    </row>
    <row r="148" spans="1:1" x14ac:dyDescent="0.2">
      <c r="A148" t="s">
        <v>424</v>
      </c>
    </row>
    <row r="149" spans="1:1" x14ac:dyDescent="0.2">
      <c r="A149" t="s">
        <v>515</v>
      </c>
    </row>
    <row r="150" spans="1:1" x14ac:dyDescent="0.2">
      <c r="A150" t="s">
        <v>877</v>
      </c>
    </row>
    <row r="151" spans="1:1" x14ac:dyDescent="0.2">
      <c r="A151" t="s">
        <v>878</v>
      </c>
    </row>
    <row r="152" spans="1:1" x14ac:dyDescent="0.2">
      <c r="A152" t="s">
        <v>506</v>
      </c>
    </row>
    <row r="153" spans="1:1" x14ac:dyDescent="0.2">
      <c r="A153" t="s">
        <v>334</v>
      </c>
    </row>
    <row r="154" spans="1:1" x14ac:dyDescent="0.2">
      <c r="A154" t="s">
        <v>879</v>
      </c>
    </row>
    <row r="155" spans="1:1" x14ac:dyDescent="0.2">
      <c r="A155" t="s">
        <v>880</v>
      </c>
    </row>
    <row r="156" spans="1:1" x14ac:dyDescent="0.2">
      <c r="A156" t="s">
        <v>881</v>
      </c>
    </row>
    <row r="157" spans="1:1" x14ac:dyDescent="0.2">
      <c r="A157" t="s">
        <v>882</v>
      </c>
    </row>
    <row r="158" spans="1:1" x14ac:dyDescent="0.2">
      <c r="A158" t="s">
        <v>883</v>
      </c>
    </row>
    <row r="159" spans="1:1" x14ac:dyDescent="0.2">
      <c r="A159" t="s">
        <v>884</v>
      </c>
    </row>
    <row r="160" spans="1:1" x14ac:dyDescent="0.2">
      <c r="A160" t="s">
        <v>885</v>
      </c>
    </row>
    <row r="161" spans="1:1" x14ac:dyDescent="0.2">
      <c r="A161" t="s">
        <v>886</v>
      </c>
    </row>
    <row r="162" spans="1:1" x14ac:dyDescent="0.2">
      <c r="A162" t="s">
        <v>516</v>
      </c>
    </row>
    <row r="163" spans="1:1" x14ac:dyDescent="0.2">
      <c r="A163" t="s">
        <v>425</v>
      </c>
    </row>
    <row r="164" spans="1:1" x14ac:dyDescent="0.2">
      <c r="A164" t="s">
        <v>335</v>
      </c>
    </row>
    <row r="165" spans="1:1" x14ac:dyDescent="0.2">
      <c r="A165" t="s">
        <v>887</v>
      </c>
    </row>
    <row r="166" spans="1:1" x14ac:dyDescent="0.2">
      <c r="A166" t="s">
        <v>888</v>
      </c>
    </row>
    <row r="167" spans="1:1" x14ac:dyDescent="0.2">
      <c r="A167" t="s">
        <v>889</v>
      </c>
    </row>
    <row r="168" spans="1:1" x14ac:dyDescent="0.2">
      <c r="A168" t="s">
        <v>426</v>
      </c>
    </row>
    <row r="169" spans="1:1" x14ac:dyDescent="0.2">
      <c r="A169" t="s">
        <v>427</v>
      </c>
    </row>
    <row r="170" spans="1:1" x14ac:dyDescent="0.2">
      <c r="A170" t="s">
        <v>374</v>
      </c>
    </row>
    <row r="171" spans="1:1" x14ac:dyDescent="0.2">
      <c r="A171" t="s">
        <v>375</v>
      </c>
    </row>
    <row r="172" spans="1:1" x14ac:dyDescent="0.2">
      <c r="A172" t="s">
        <v>890</v>
      </c>
    </row>
    <row r="173" spans="1:1" x14ac:dyDescent="0.2">
      <c r="A173" t="s">
        <v>428</v>
      </c>
    </row>
    <row r="174" spans="1:1" x14ac:dyDescent="0.2">
      <c r="A174" t="s">
        <v>337</v>
      </c>
    </row>
    <row r="175" spans="1:1" x14ac:dyDescent="0.2">
      <c r="A175" t="s">
        <v>891</v>
      </c>
    </row>
    <row r="176" spans="1:1" x14ac:dyDescent="0.2">
      <c r="A176" t="s">
        <v>338</v>
      </c>
    </row>
    <row r="177" spans="1:1" x14ac:dyDescent="0.2">
      <c r="A177" t="s">
        <v>336</v>
      </c>
    </row>
    <row r="178" spans="1:1" x14ac:dyDescent="0.2">
      <c r="A178" t="s">
        <v>892</v>
      </c>
    </row>
    <row r="179" spans="1:1" x14ac:dyDescent="0.2">
      <c r="A179" t="s">
        <v>339</v>
      </c>
    </row>
    <row r="180" spans="1:1" x14ac:dyDescent="0.2">
      <c r="A180" t="s">
        <v>893</v>
      </c>
    </row>
    <row r="181" spans="1:1" x14ac:dyDescent="0.2">
      <c r="A181" t="s">
        <v>507</v>
      </c>
    </row>
    <row r="182" spans="1:1" x14ac:dyDescent="0.2">
      <c r="A182" t="s">
        <v>430</v>
      </c>
    </row>
    <row r="183" spans="1:1" x14ac:dyDescent="0.2">
      <c r="A183" t="s">
        <v>431</v>
      </c>
    </row>
    <row r="184" spans="1:1" x14ac:dyDescent="0.2">
      <c r="A184" t="s">
        <v>894</v>
      </c>
    </row>
    <row r="185" spans="1:1" x14ac:dyDescent="0.2">
      <c r="A185" t="s">
        <v>500</v>
      </c>
    </row>
    <row r="186" spans="1:1" x14ac:dyDescent="0.2">
      <c r="A186" t="s">
        <v>895</v>
      </c>
    </row>
    <row r="187" spans="1:1" x14ac:dyDescent="0.2">
      <c r="A187" t="s">
        <v>311</v>
      </c>
    </row>
    <row r="188" spans="1:1" x14ac:dyDescent="0.2">
      <c r="A188" t="s">
        <v>896</v>
      </c>
    </row>
    <row r="189" spans="1:1" x14ac:dyDescent="0.2">
      <c r="A189" t="s">
        <v>897</v>
      </c>
    </row>
    <row r="190" spans="1:1" x14ac:dyDescent="0.2">
      <c r="A190" t="s">
        <v>898</v>
      </c>
    </row>
    <row r="191" spans="1:1" x14ac:dyDescent="0.2">
      <c r="A191" t="s">
        <v>899</v>
      </c>
    </row>
    <row r="192" spans="1:1" x14ac:dyDescent="0.2">
      <c r="A192" t="s">
        <v>900</v>
      </c>
    </row>
    <row r="193" spans="1:1" x14ac:dyDescent="0.2">
      <c r="A193" t="s">
        <v>901</v>
      </c>
    </row>
    <row r="194" spans="1:1" x14ac:dyDescent="0.2">
      <c r="A194" t="s">
        <v>902</v>
      </c>
    </row>
    <row r="195" spans="1:1" x14ac:dyDescent="0.2">
      <c r="A195" t="s">
        <v>903</v>
      </c>
    </row>
    <row r="196" spans="1:1" x14ac:dyDescent="0.2">
      <c r="A196" t="s">
        <v>439</v>
      </c>
    </row>
    <row r="197" spans="1:1" x14ac:dyDescent="0.2">
      <c r="A197" t="s">
        <v>508</v>
      </c>
    </row>
    <row r="198" spans="1:1" x14ac:dyDescent="0.2">
      <c r="A198" t="s">
        <v>341</v>
      </c>
    </row>
    <row r="199" spans="1:1" x14ac:dyDescent="0.2">
      <c r="A199" t="s">
        <v>342</v>
      </c>
    </row>
    <row r="200" spans="1:1" x14ac:dyDescent="0.2">
      <c r="A200" t="s">
        <v>904</v>
      </c>
    </row>
    <row r="201" spans="1:1" x14ac:dyDescent="0.2">
      <c r="A201" t="s">
        <v>340</v>
      </c>
    </row>
    <row r="202" spans="1:1" x14ac:dyDescent="0.2">
      <c r="A202" t="s">
        <v>376</v>
      </c>
    </row>
    <row r="203" spans="1:1" x14ac:dyDescent="0.2">
      <c r="A203" t="s">
        <v>905</v>
      </c>
    </row>
    <row r="204" spans="1:1" x14ac:dyDescent="0.2">
      <c r="A204" t="s">
        <v>518</v>
      </c>
    </row>
    <row r="205" spans="1:1" x14ac:dyDescent="0.2">
      <c r="A205" t="s">
        <v>343</v>
      </c>
    </row>
    <row r="206" spans="1:1" x14ac:dyDescent="0.2">
      <c r="A206" t="s">
        <v>344</v>
      </c>
    </row>
    <row r="207" spans="1:1" x14ac:dyDescent="0.2">
      <c r="A207" t="s">
        <v>906</v>
      </c>
    </row>
    <row r="208" spans="1:1" x14ac:dyDescent="0.2">
      <c r="A208" t="s">
        <v>377</v>
      </c>
    </row>
    <row r="209" spans="1:1" x14ac:dyDescent="0.2">
      <c r="A209" t="s">
        <v>907</v>
      </c>
    </row>
    <row r="210" spans="1:1" x14ac:dyDescent="0.2">
      <c r="A210" t="s">
        <v>525</v>
      </c>
    </row>
    <row r="211" spans="1:1" x14ac:dyDescent="0.2">
      <c r="A211" t="s">
        <v>440</v>
      </c>
    </row>
    <row r="212" spans="1:1" x14ac:dyDescent="0.2">
      <c r="A212" t="s">
        <v>517</v>
      </c>
    </row>
    <row r="213" spans="1:1" x14ac:dyDescent="0.2">
      <c r="A213" t="s">
        <v>908</v>
      </c>
    </row>
    <row r="214" spans="1:1" x14ac:dyDescent="0.2">
      <c r="A214" t="s">
        <v>378</v>
      </c>
    </row>
    <row r="215" spans="1:1" x14ac:dyDescent="0.2">
      <c r="A215" t="s">
        <v>526</v>
      </c>
    </row>
    <row r="216" spans="1:1" x14ac:dyDescent="0.2">
      <c r="A216" t="s">
        <v>527</v>
      </c>
    </row>
    <row r="217" spans="1:1" x14ac:dyDescent="0.2">
      <c r="A217" t="s">
        <v>528</v>
      </c>
    </row>
    <row r="218" spans="1:1" x14ac:dyDescent="0.2">
      <c r="A218" t="s">
        <v>313</v>
      </c>
    </row>
    <row r="219" spans="1:1" x14ac:dyDescent="0.2">
      <c r="A219" t="s">
        <v>909</v>
      </c>
    </row>
    <row r="220" spans="1:1" x14ac:dyDescent="0.2">
      <c r="A220" t="s">
        <v>910</v>
      </c>
    </row>
    <row r="221" spans="1:1" x14ac:dyDescent="0.2">
      <c r="A221" t="s">
        <v>911</v>
      </c>
    </row>
    <row r="222" spans="1:1" x14ac:dyDescent="0.2">
      <c r="A222" t="s">
        <v>379</v>
      </c>
    </row>
    <row r="223" spans="1:1" x14ac:dyDescent="0.2">
      <c r="A223" t="s">
        <v>380</v>
      </c>
    </row>
    <row r="224" spans="1:1" x14ac:dyDescent="0.2">
      <c r="A224" t="s">
        <v>509</v>
      </c>
    </row>
    <row r="225" spans="1:1" x14ac:dyDescent="0.2">
      <c r="A225" t="s">
        <v>381</v>
      </c>
    </row>
    <row r="226" spans="1:1" x14ac:dyDescent="0.2">
      <c r="A226" t="s">
        <v>345</v>
      </c>
    </row>
    <row r="227" spans="1:1" x14ac:dyDescent="0.2">
      <c r="A227" t="s">
        <v>529</v>
      </c>
    </row>
    <row r="228" spans="1:1" x14ac:dyDescent="0.2">
      <c r="A228" t="s">
        <v>912</v>
      </c>
    </row>
    <row r="229" spans="1:1" x14ac:dyDescent="0.2">
      <c r="A229" t="s">
        <v>913</v>
      </c>
    </row>
    <row r="230" spans="1:1" x14ac:dyDescent="0.2">
      <c r="A230" t="s">
        <v>466</v>
      </c>
    </row>
    <row r="231" spans="1:1" x14ac:dyDescent="0.2">
      <c r="A231" t="s">
        <v>467</v>
      </c>
    </row>
    <row r="232" spans="1:1" x14ac:dyDescent="0.2">
      <c r="A232" t="s">
        <v>914</v>
      </c>
    </row>
    <row r="233" spans="1:1" x14ac:dyDescent="0.2">
      <c r="A233" t="s">
        <v>915</v>
      </c>
    </row>
    <row r="234" spans="1:1" x14ac:dyDescent="0.2">
      <c r="A234" t="s">
        <v>346</v>
      </c>
    </row>
    <row r="235" spans="1:1" x14ac:dyDescent="0.2">
      <c r="A235" t="s">
        <v>916</v>
      </c>
    </row>
    <row r="236" spans="1:1" x14ac:dyDescent="0.2">
      <c r="A236" t="s">
        <v>917</v>
      </c>
    </row>
    <row r="237" spans="1:1" x14ac:dyDescent="0.2">
      <c r="A237" t="s">
        <v>918</v>
      </c>
    </row>
    <row r="238" spans="1:1" x14ac:dyDescent="0.2">
      <c r="A238" t="s">
        <v>347</v>
      </c>
    </row>
    <row r="239" spans="1:1" x14ac:dyDescent="0.2">
      <c r="A239" t="s">
        <v>468</v>
      </c>
    </row>
    <row r="240" spans="1:1" x14ac:dyDescent="0.2">
      <c r="A240" t="s">
        <v>919</v>
      </c>
    </row>
    <row r="241" spans="1:1" x14ac:dyDescent="0.2">
      <c r="A241" t="s">
        <v>519</v>
      </c>
    </row>
    <row r="242" spans="1:1" x14ac:dyDescent="0.2">
      <c r="A242" t="s">
        <v>348</v>
      </c>
    </row>
    <row r="243" spans="1:1" x14ac:dyDescent="0.2">
      <c r="A243" t="s">
        <v>382</v>
      </c>
    </row>
    <row r="244" spans="1:1" x14ac:dyDescent="0.2">
      <c r="A244" t="s">
        <v>469</v>
      </c>
    </row>
    <row r="245" spans="1:1" x14ac:dyDescent="0.2">
      <c r="A245" t="s">
        <v>350</v>
      </c>
    </row>
    <row r="246" spans="1:1" x14ac:dyDescent="0.2">
      <c r="A246" t="s">
        <v>920</v>
      </c>
    </row>
    <row r="247" spans="1:1" x14ac:dyDescent="0.2">
      <c r="A247" t="s">
        <v>921</v>
      </c>
    </row>
    <row r="248" spans="1:1" x14ac:dyDescent="0.2">
      <c r="A248" t="s">
        <v>470</v>
      </c>
    </row>
    <row r="249" spans="1:1" x14ac:dyDescent="0.2">
      <c r="A249" t="s">
        <v>922</v>
      </c>
    </row>
    <row r="250" spans="1:1" x14ac:dyDescent="0.2">
      <c r="A250" t="s">
        <v>923</v>
      </c>
    </row>
    <row r="251" spans="1:1" x14ac:dyDescent="0.2">
      <c r="A251" t="s">
        <v>924</v>
      </c>
    </row>
    <row r="252" spans="1:1" x14ac:dyDescent="0.2">
      <c r="A252" t="s">
        <v>925</v>
      </c>
    </row>
    <row r="253" spans="1:1" x14ac:dyDescent="0.2">
      <c r="A253" t="s">
        <v>349</v>
      </c>
    </row>
    <row r="254" spans="1:1" x14ac:dyDescent="0.2">
      <c r="A254" t="s">
        <v>383</v>
      </c>
    </row>
    <row r="255" spans="1:1" x14ac:dyDescent="0.2">
      <c r="A255" t="s">
        <v>314</v>
      </c>
    </row>
    <row r="256" spans="1:1" x14ac:dyDescent="0.2">
      <c r="A256" t="s">
        <v>926</v>
      </c>
    </row>
    <row r="257" spans="1:1" x14ac:dyDescent="0.2">
      <c r="A257" t="s">
        <v>471</v>
      </c>
    </row>
    <row r="258" spans="1:1" x14ac:dyDescent="0.2">
      <c r="A258" t="s">
        <v>927</v>
      </c>
    </row>
    <row r="259" spans="1:1" x14ac:dyDescent="0.2">
      <c r="A259" t="s">
        <v>472</v>
      </c>
    </row>
    <row r="260" spans="1:1" x14ac:dyDescent="0.2">
      <c r="A260" t="s">
        <v>928</v>
      </c>
    </row>
    <row r="261" spans="1:1" x14ac:dyDescent="0.2">
      <c r="A261" t="s">
        <v>929</v>
      </c>
    </row>
    <row r="262" spans="1:1" x14ac:dyDescent="0.2">
      <c r="A262" t="s">
        <v>930</v>
      </c>
    </row>
    <row r="263" spans="1:1" x14ac:dyDescent="0.2">
      <c r="A263" t="s">
        <v>931</v>
      </c>
    </row>
    <row r="264" spans="1:1" x14ac:dyDescent="0.2">
      <c r="A264" t="s">
        <v>932</v>
      </c>
    </row>
    <row r="265" spans="1:1" x14ac:dyDescent="0.2">
      <c r="A265" t="s">
        <v>933</v>
      </c>
    </row>
    <row r="266" spans="1:1" x14ac:dyDescent="0.2">
      <c r="A266" t="s">
        <v>934</v>
      </c>
    </row>
    <row r="267" spans="1:1" x14ac:dyDescent="0.2">
      <c r="A267" t="s">
        <v>935</v>
      </c>
    </row>
    <row r="268" spans="1:1" x14ac:dyDescent="0.2">
      <c r="A268" t="s">
        <v>936</v>
      </c>
    </row>
    <row r="269" spans="1:1" x14ac:dyDescent="0.2">
      <c r="A269" t="s">
        <v>937</v>
      </c>
    </row>
    <row r="270" spans="1:1" x14ac:dyDescent="0.2">
      <c r="A270" t="s">
        <v>351</v>
      </c>
    </row>
    <row r="271" spans="1:1" x14ac:dyDescent="0.2">
      <c r="A271" t="s">
        <v>352</v>
      </c>
    </row>
    <row r="272" spans="1:1" x14ac:dyDescent="0.2">
      <c r="A272" t="s">
        <v>938</v>
      </c>
    </row>
    <row r="273" spans="1:1" x14ac:dyDescent="0.2">
      <c r="A273" t="s">
        <v>939</v>
      </c>
    </row>
    <row r="274" spans="1:1" x14ac:dyDescent="0.2">
      <c r="A274" t="s">
        <v>940</v>
      </c>
    </row>
    <row r="275" spans="1:1" x14ac:dyDescent="0.2">
      <c r="A275" t="s">
        <v>535</v>
      </c>
    </row>
    <row r="276" spans="1:1" x14ac:dyDescent="0.2">
      <c r="A276" t="s">
        <v>941</v>
      </c>
    </row>
    <row r="277" spans="1:1" x14ac:dyDescent="0.2">
      <c r="A277" t="s">
        <v>942</v>
      </c>
    </row>
    <row r="278" spans="1:1" x14ac:dyDescent="0.2">
      <c r="A278" t="s">
        <v>943</v>
      </c>
    </row>
    <row r="279" spans="1:1" x14ac:dyDescent="0.2">
      <c r="A279" t="s">
        <v>1345</v>
      </c>
    </row>
    <row r="280" spans="1:1" x14ac:dyDescent="0.2">
      <c r="A280" t="s">
        <v>944</v>
      </c>
    </row>
    <row r="281" spans="1:1" x14ac:dyDescent="0.2">
      <c r="A281" t="s">
        <v>945</v>
      </c>
    </row>
    <row r="282" spans="1:1" x14ac:dyDescent="0.2">
      <c r="A282" t="s">
        <v>946</v>
      </c>
    </row>
    <row r="283" spans="1:1" x14ac:dyDescent="0.2">
      <c r="A283" t="s">
        <v>520</v>
      </c>
    </row>
    <row r="284" spans="1:1" x14ac:dyDescent="0.2">
      <c r="A284" t="s">
        <v>947</v>
      </c>
    </row>
    <row r="285" spans="1:1" x14ac:dyDescent="0.2">
      <c r="A285" t="s">
        <v>948</v>
      </c>
    </row>
    <row r="286" spans="1:1" x14ac:dyDescent="0.2">
      <c r="A286" t="s">
        <v>949</v>
      </c>
    </row>
    <row r="287" spans="1:1" x14ac:dyDescent="0.2">
      <c r="A287" t="s">
        <v>950</v>
      </c>
    </row>
    <row r="288" spans="1:1" x14ac:dyDescent="0.2">
      <c r="A288" t="s">
        <v>951</v>
      </c>
    </row>
    <row r="289" spans="1:1" x14ac:dyDescent="0.2">
      <c r="A289" t="s">
        <v>952</v>
      </c>
    </row>
    <row r="290" spans="1:1" x14ac:dyDescent="0.2">
      <c r="A290" t="s">
        <v>474</v>
      </c>
    </row>
    <row r="291" spans="1:1" x14ac:dyDescent="0.2">
      <c r="A291" t="s">
        <v>475</v>
      </c>
    </row>
    <row r="292" spans="1:1" x14ac:dyDescent="0.2">
      <c r="A292" t="s">
        <v>476</v>
      </c>
    </row>
    <row r="293" spans="1:1" x14ac:dyDescent="0.2">
      <c r="A293" t="s">
        <v>353</v>
      </c>
    </row>
    <row r="294" spans="1:1" x14ac:dyDescent="0.2">
      <c r="A294" t="s">
        <v>953</v>
      </c>
    </row>
    <row r="295" spans="1:1" x14ac:dyDescent="0.2">
      <c r="A295" t="s">
        <v>354</v>
      </c>
    </row>
    <row r="296" spans="1:1" x14ac:dyDescent="0.2">
      <c r="A296" t="s">
        <v>954</v>
      </c>
    </row>
    <row r="297" spans="1:1" x14ac:dyDescent="0.2">
      <c r="A297" t="s">
        <v>955</v>
      </c>
    </row>
    <row r="298" spans="1:1" x14ac:dyDescent="0.2">
      <c r="A298" t="s">
        <v>956</v>
      </c>
    </row>
    <row r="299" spans="1:1" x14ac:dyDescent="0.2">
      <c r="A299" t="s">
        <v>957</v>
      </c>
    </row>
    <row r="300" spans="1:1" x14ac:dyDescent="0.2">
      <c r="A300" t="s">
        <v>958</v>
      </c>
    </row>
    <row r="301" spans="1:1" x14ac:dyDescent="0.2">
      <c r="A301" t="s">
        <v>384</v>
      </c>
    </row>
    <row r="302" spans="1:1" x14ac:dyDescent="0.2">
      <c r="A302" t="s">
        <v>220</v>
      </c>
    </row>
    <row r="303" spans="1:1" x14ac:dyDescent="0.2">
      <c r="A303" t="s">
        <v>959</v>
      </c>
    </row>
    <row r="304" spans="1:1" x14ac:dyDescent="0.2">
      <c r="A304" t="s">
        <v>960</v>
      </c>
    </row>
    <row r="305" spans="1:1" x14ac:dyDescent="0.2">
      <c r="A305" t="s">
        <v>355</v>
      </c>
    </row>
    <row r="306" spans="1:1" x14ac:dyDescent="0.2">
      <c r="A306" t="s">
        <v>961</v>
      </c>
    </row>
    <row r="307" spans="1:1" x14ac:dyDescent="0.2">
      <c r="A307" t="s">
        <v>385</v>
      </c>
    </row>
    <row r="308" spans="1:1" x14ac:dyDescent="0.2">
      <c r="A308" t="s">
        <v>962</v>
      </c>
    </row>
    <row r="309" spans="1:1" x14ac:dyDescent="0.2">
      <c r="A309" t="s">
        <v>482</v>
      </c>
    </row>
    <row r="310" spans="1:1" x14ac:dyDescent="0.2">
      <c r="A310" t="s">
        <v>486</v>
      </c>
    </row>
    <row r="311" spans="1:1" x14ac:dyDescent="0.2">
      <c r="A311" t="s">
        <v>521</v>
      </c>
    </row>
    <row r="312" spans="1:1" x14ac:dyDescent="0.2">
      <c r="A312" t="s">
        <v>522</v>
      </c>
    </row>
    <row r="313" spans="1:1" x14ac:dyDescent="0.2">
      <c r="A313" t="s">
        <v>963</v>
      </c>
    </row>
    <row r="314" spans="1:1" x14ac:dyDescent="0.2">
      <c r="A314" t="s">
        <v>1342</v>
      </c>
    </row>
    <row r="315" spans="1:1" x14ac:dyDescent="0.2">
      <c r="A315" t="s">
        <v>964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1E40-67B7-4483-9C33-823A6462CF24}">
  <dimension ref="A1:E460"/>
  <sheetViews>
    <sheetView workbookViewId="0">
      <selection activeCell="E3" sqref="E3"/>
    </sheetView>
  </sheetViews>
  <sheetFormatPr defaultRowHeight="14.25" x14ac:dyDescent="0.2"/>
  <cols>
    <col min="1" max="1" width="53.125" bestFit="1" customWidth="1"/>
    <col min="2" max="2" width="75.375" bestFit="1" customWidth="1"/>
    <col min="3" max="3" width="17.875" customWidth="1"/>
  </cols>
  <sheetData>
    <row r="1" spans="1:5" x14ac:dyDescent="0.2">
      <c r="A1" t="s">
        <v>965</v>
      </c>
      <c r="B1" t="s">
        <v>127</v>
      </c>
    </row>
    <row r="2" spans="1:5" x14ac:dyDescent="0.2">
      <c r="A2" t="s">
        <v>307</v>
      </c>
      <c r="B2" t="s">
        <v>356</v>
      </c>
    </row>
    <row r="3" spans="1:5" x14ac:dyDescent="0.2">
      <c r="A3" t="s">
        <v>307</v>
      </c>
      <c r="B3" t="s">
        <v>966</v>
      </c>
      <c r="D3" cm="1">
        <f t="array" ref="D3">_xlfn.UNIQUE(_xlfn._xlws.FILTER(B:B,A:A='Cover letter'!C5))</f>
        <v>0</v>
      </c>
      <c r="E3" t="s">
        <v>1126</v>
      </c>
    </row>
    <row r="4" spans="1:5" x14ac:dyDescent="0.2">
      <c r="A4" t="s">
        <v>307</v>
      </c>
      <c r="B4" t="s">
        <v>357</v>
      </c>
    </row>
    <row r="5" spans="1:5" x14ac:dyDescent="0.2">
      <c r="A5" t="s">
        <v>310</v>
      </c>
      <c r="B5" t="s">
        <v>967</v>
      </c>
    </row>
    <row r="6" spans="1:5" x14ac:dyDescent="0.2">
      <c r="A6" t="s">
        <v>310</v>
      </c>
      <c r="B6" t="s">
        <v>531</v>
      </c>
    </row>
    <row r="7" spans="1:5" x14ac:dyDescent="0.2">
      <c r="A7" t="s">
        <v>310</v>
      </c>
      <c r="B7" t="s">
        <v>532</v>
      </c>
    </row>
    <row r="8" spans="1:5" x14ac:dyDescent="0.2">
      <c r="A8" t="s">
        <v>310</v>
      </c>
      <c r="B8" t="s">
        <v>483</v>
      </c>
    </row>
    <row r="9" spans="1:5" x14ac:dyDescent="0.2">
      <c r="A9" t="s">
        <v>310</v>
      </c>
      <c r="B9" t="s">
        <v>533</v>
      </c>
    </row>
    <row r="10" spans="1:5" x14ac:dyDescent="0.2">
      <c r="A10" t="s">
        <v>310</v>
      </c>
      <c r="B10" t="s">
        <v>968</v>
      </c>
    </row>
    <row r="11" spans="1:5" x14ac:dyDescent="0.2">
      <c r="A11" t="s">
        <v>310</v>
      </c>
      <c r="B11" t="s">
        <v>51</v>
      </c>
    </row>
    <row r="12" spans="1:5" x14ac:dyDescent="0.2">
      <c r="A12" t="s">
        <v>329</v>
      </c>
      <c r="B12" t="s">
        <v>967</v>
      </c>
    </row>
    <row r="13" spans="1:5" x14ac:dyDescent="0.2">
      <c r="A13" t="s">
        <v>329</v>
      </c>
      <c r="B13" t="s">
        <v>969</v>
      </c>
    </row>
    <row r="14" spans="1:5" x14ac:dyDescent="0.2">
      <c r="A14" t="s">
        <v>329</v>
      </c>
      <c r="B14" t="s">
        <v>531</v>
      </c>
    </row>
    <row r="15" spans="1:5" x14ac:dyDescent="0.2">
      <c r="A15" t="s">
        <v>329</v>
      </c>
      <c r="B15" t="s">
        <v>532</v>
      </c>
    </row>
    <row r="16" spans="1:5" x14ac:dyDescent="0.2">
      <c r="A16" t="s">
        <v>329</v>
      </c>
      <c r="B16" t="s">
        <v>483</v>
      </c>
    </row>
    <row r="17" spans="1:2" x14ac:dyDescent="0.2">
      <c r="A17" t="s">
        <v>329</v>
      </c>
      <c r="B17" t="s">
        <v>533</v>
      </c>
    </row>
    <row r="18" spans="1:2" x14ac:dyDescent="0.2">
      <c r="A18" t="s">
        <v>329</v>
      </c>
      <c r="B18" t="s">
        <v>968</v>
      </c>
    </row>
    <row r="19" spans="1:2" x14ac:dyDescent="0.2">
      <c r="A19" t="s">
        <v>329</v>
      </c>
      <c r="B19" t="s">
        <v>51</v>
      </c>
    </row>
    <row r="20" spans="1:2" x14ac:dyDescent="0.2">
      <c r="A20" t="s">
        <v>330</v>
      </c>
      <c r="B20" t="s">
        <v>967</v>
      </c>
    </row>
    <row r="21" spans="1:2" x14ac:dyDescent="0.2">
      <c r="A21" t="s">
        <v>330</v>
      </c>
      <c r="B21" t="s">
        <v>531</v>
      </c>
    </row>
    <row r="22" spans="1:2" x14ac:dyDescent="0.2">
      <c r="A22" t="s">
        <v>330</v>
      </c>
      <c r="B22" t="s">
        <v>532</v>
      </c>
    </row>
    <row r="23" spans="1:2" x14ac:dyDescent="0.2">
      <c r="A23" t="s">
        <v>330</v>
      </c>
      <c r="B23" t="s">
        <v>483</v>
      </c>
    </row>
    <row r="24" spans="1:2" x14ac:dyDescent="0.2">
      <c r="A24" t="s">
        <v>330</v>
      </c>
      <c r="B24" t="s">
        <v>533</v>
      </c>
    </row>
    <row r="25" spans="1:2" x14ac:dyDescent="0.2">
      <c r="A25" t="s">
        <v>330</v>
      </c>
      <c r="B25" t="s">
        <v>968</v>
      </c>
    </row>
    <row r="26" spans="1:2" x14ac:dyDescent="0.2">
      <c r="A26" t="s">
        <v>330</v>
      </c>
      <c r="B26" t="s">
        <v>51</v>
      </c>
    </row>
    <row r="27" spans="1:2" x14ac:dyDescent="0.2">
      <c r="A27" t="s">
        <v>534</v>
      </c>
      <c r="B27" t="s">
        <v>967</v>
      </c>
    </row>
    <row r="28" spans="1:2" x14ac:dyDescent="0.2">
      <c r="A28" t="s">
        <v>534</v>
      </c>
      <c r="B28" t="s">
        <v>531</v>
      </c>
    </row>
    <row r="29" spans="1:2" x14ac:dyDescent="0.2">
      <c r="A29" t="s">
        <v>534</v>
      </c>
      <c r="B29" t="s">
        <v>532</v>
      </c>
    </row>
    <row r="30" spans="1:2" x14ac:dyDescent="0.2">
      <c r="A30" t="s">
        <v>534</v>
      </c>
      <c r="B30" t="s">
        <v>483</v>
      </c>
    </row>
    <row r="31" spans="1:2" x14ac:dyDescent="0.2">
      <c r="A31" t="s">
        <v>534</v>
      </c>
      <c r="B31" t="s">
        <v>533</v>
      </c>
    </row>
    <row r="32" spans="1:2" x14ac:dyDescent="0.2">
      <c r="A32" t="s">
        <v>534</v>
      </c>
      <c r="B32" t="s">
        <v>968</v>
      </c>
    </row>
    <row r="33" spans="1:2" x14ac:dyDescent="0.2">
      <c r="A33" t="s">
        <v>534</v>
      </c>
      <c r="B33" t="s">
        <v>51</v>
      </c>
    </row>
    <row r="34" spans="1:2" x14ac:dyDescent="0.2">
      <c r="A34" t="s">
        <v>530</v>
      </c>
      <c r="B34" t="s">
        <v>967</v>
      </c>
    </row>
    <row r="35" spans="1:2" x14ac:dyDescent="0.2">
      <c r="A35" t="s">
        <v>530</v>
      </c>
      <c r="B35" t="s">
        <v>531</v>
      </c>
    </row>
    <row r="36" spans="1:2" x14ac:dyDescent="0.2">
      <c r="A36" t="s">
        <v>530</v>
      </c>
      <c r="B36" t="s">
        <v>532</v>
      </c>
    </row>
    <row r="37" spans="1:2" x14ac:dyDescent="0.2">
      <c r="A37" t="s">
        <v>530</v>
      </c>
      <c r="B37" t="s">
        <v>483</v>
      </c>
    </row>
    <row r="38" spans="1:2" x14ac:dyDescent="0.2">
      <c r="A38" t="s">
        <v>530</v>
      </c>
      <c r="B38" t="s">
        <v>533</v>
      </c>
    </row>
    <row r="39" spans="1:2" x14ac:dyDescent="0.2">
      <c r="A39" t="s">
        <v>530</v>
      </c>
      <c r="B39" t="s">
        <v>968</v>
      </c>
    </row>
    <row r="40" spans="1:2" x14ac:dyDescent="0.2">
      <c r="A40" t="s">
        <v>530</v>
      </c>
      <c r="B40" t="s">
        <v>51</v>
      </c>
    </row>
    <row r="41" spans="1:2" x14ac:dyDescent="0.2">
      <c r="A41" t="s">
        <v>535</v>
      </c>
      <c r="B41" t="s">
        <v>536</v>
      </c>
    </row>
    <row r="42" spans="1:2" x14ac:dyDescent="0.2">
      <c r="A42" t="s">
        <v>535</v>
      </c>
      <c r="B42" t="s">
        <v>537</v>
      </c>
    </row>
    <row r="43" spans="1:2" x14ac:dyDescent="0.2">
      <c r="A43" t="s">
        <v>535</v>
      </c>
      <c r="B43" t="s">
        <v>970</v>
      </c>
    </row>
    <row r="44" spans="1:2" x14ac:dyDescent="0.2">
      <c r="A44" t="s">
        <v>535</v>
      </c>
      <c r="B44" t="s">
        <v>971</v>
      </c>
    </row>
    <row r="45" spans="1:2" x14ac:dyDescent="0.2">
      <c r="A45" t="s">
        <v>535</v>
      </c>
      <c r="B45" t="s">
        <v>538</v>
      </c>
    </row>
    <row r="46" spans="1:2" x14ac:dyDescent="0.2">
      <c r="A46" t="s">
        <v>535</v>
      </c>
      <c r="B46" t="s">
        <v>51</v>
      </c>
    </row>
    <row r="47" spans="1:2" x14ac:dyDescent="0.2">
      <c r="A47" t="s">
        <v>334</v>
      </c>
      <c r="B47" t="s">
        <v>451</v>
      </c>
    </row>
    <row r="48" spans="1:2" x14ac:dyDescent="0.2">
      <c r="A48" t="s">
        <v>334</v>
      </c>
      <c r="B48" t="s">
        <v>539</v>
      </c>
    </row>
    <row r="49" spans="1:2" x14ac:dyDescent="0.2">
      <c r="A49" t="s">
        <v>334</v>
      </c>
      <c r="B49" t="s">
        <v>16</v>
      </c>
    </row>
    <row r="50" spans="1:2" x14ac:dyDescent="0.2">
      <c r="A50" t="s">
        <v>334</v>
      </c>
      <c r="B50" t="s">
        <v>540</v>
      </c>
    </row>
    <row r="51" spans="1:2" x14ac:dyDescent="0.2">
      <c r="A51" t="s">
        <v>334</v>
      </c>
      <c r="B51" t="s">
        <v>541</v>
      </c>
    </row>
    <row r="52" spans="1:2" x14ac:dyDescent="0.2">
      <c r="A52" t="s">
        <v>334</v>
      </c>
      <c r="B52" t="s">
        <v>972</v>
      </c>
    </row>
    <row r="53" spans="1:2" x14ac:dyDescent="0.2">
      <c r="A53" t="s">
        <v>334</v>
      </c>
      <c r="B53" t="s">
        <v>490</v>
      </c>
    </row>
    <row r="54" spans="1:2" x14ac:dyDescent="0.2">
      <c r="A54" t="s">
        <v>334</v>
      </c>
      <c r="B54" t="s">
        <v>542</v>
      </c>
    </row>
    <row r="55" spans="1:2" x14ac:dyDescent="0.2">
      <c r="A55" t="s">
        <v>842</v>
      </c>
    </row>
    <row r="56" spans="1:2" x14ac:dyDescent="0.2">
      <c r="A56" t="s">
        <v>209</v>
      </c>
    </row>
    <row r="57" spans="1:2" x14ac:dyDescent="0.2">
      <c r="A57" t="s">
        <v>315</v>
      </c>
    </row>
    <row r="58" spans="1:2" x14ac:dyDescent="0.2">
      <c r="A58" t="s">
        <v>317</v>
      </c>
      <c r="B58" t="s">
        <v>973</v>
      </c>
    </row>
    <row r="59" spans="1:2" x14ac:dyDescent="0.2">
      <c r="A59" t="s">
        <v>317</v>
      </c>
      <c r="B59" t="s">
        <v>974</v>
      </c>
    </row>
    <row r="60" spans="1:2" x14ac:dyDescent="0.2">
      <c r="A60" t="s">
        <v>317</v>
      </c>
      <c r="B60" t="s">
        <v>438</v>
      </c>
    </row>
    <row r="61" spans="1:2" x14ac:dyDescent="0.2">
      <c r="A61" t="s">
        <v>317</v>
      </c>
      <c r="B61" t="s">
        <v>975</v>
      </c>
    </row>
    <row r="62" spans="1:2" x14ac:dyDescent="0.2">
      <c r="A62" t="s">
        <v>318</v>
      </c>
    </row>
    <row r="63" spans="1:2" x14ac:dyDescent="0.2">
      <c r="A63" t="s">
        <v>320</v>
      </c>
    </row>
    <row r="64" spans="1:2" x14ac:dyDescent="0.2">
      <c r="A64" t="s">
        <v>347</v>
      </c>
    </row>
    <row r="65" spans="1:1" x14ac:dyDescent="0.2">
      <c r="A65" t="s">
        <v>319</v>
      </c>
    </row>
    <row r="66" spans="1:1" x14ac:dyDescent="0.2">
      <c r="A66" t="s">
        <v>322</v>
      </c>
    </row>
    <row r="67" spans="1:1" x14ac:dyDescent="0.2">
      <c r="A67" t="s">
        <v>309</v>
      </c>
    </row>
    <row r="68" spans="1:1" x14ac:dyDescent="0.2">
      <c r="A68" t="s">
        <v>323</v>
      </c>
    </row>
    <row r="69" spans="1:1" x14ac:dyDescent="0.2">
      <c r="A69" t="s">
        <v>324</v>
      </c>
    </row>
    <row r="70" spans="1:1" x14ac:dyDescent="0.2">
      <c r="A70" t="s">
        <v>325</v>
      </c>
    </row>
    <row r="71" spans="1:1" x14ac:dyDescent="0.2">
      <c r="A71" t="s">
        <v>326</v>
      </c>
    </row>
    <row r="72" spans="1:1" x14ac:dyDescent="0.2">
      <c r="A72" t="s">
        <v>327</v>
      </c>
    </row>
    <row r="73" spans="1:1" x14ac:dyDescent="0.2">
      <c r="A73" t="s">
        <v>328</v>
      </c>
    </row>
    <row r="74" spans="1:1" x14ac:dyDescent="0.2">
      <c r="A74" t="s">
        <v>331</v>
      </c>
    </row>
    <row r="75" spans="1:1" x14ac:dyDescent="0.2">
      <c r="A75" t="s">
        <v>332</v>
      </c>
    </row>
    <row r="76" spans="1:1" x14ac:dyDescent="0.2">
      <c r="A76" t="s">
        <v>9</v>
      </c>
    </row>
    <row r="77" spans="1:1" x14ac:dyDescent="0.2">
      <c r="A77" t="s">
        <v>333</v>
      </c>
    </row>
    <row r="78" spans="1:1" x14ac:dyDescent="0.2">
      <c r="A78" t="s">
        <v>884</v>
      </c>
    </row>
    <row r="79" spans="1:1" x14ac:dyDescent="0.2">
      <c r="A79" t="s">
        <v>335</v>
      </c>
    </row>
    <row r="80" spans="1:1" x14ac:dyDescent="0.2">
      <c r="A80" t="s">
        <v>337</v>
      </c>
    </row>
    <row r="81" spans="1:2" x14ac:dyDescent="0.2">
      <c r="A81" t="s">
        <v>338</v>
      </c>
    </row>
    <row r="82" spans="1:2" x14ac:dyDescent="0.2">
      <c r="A82" t="s">
        <v>336</v>
      </c>
    </row>
    <row r="83" spans="1:2" x14ac:dyDescent="0.2">
      <c r="A83" t="s">
        <v>339</v>
      </c>
    </row>
    <row r="84" spans="1:2" x14ac:dyDescent="0.2">
      <c r="A84" t="s">
        <v>341</v>
      </c>
    </row>
    <row r="85" spans="1:2" x14ac:dyDescent="0.2">
      <c r="A85" t="s">
        <v>342</v>
      </c>
    </row>
    <row r="86" spans="1:2" x14ac:dyDescent="0.2">
      <c r="A86" t="s">
        <v>340</v>
      </c>
    </row>
    <row r="87" spans="1:2" x14ac:dyDescent="0.2">
      <c r="A87" t="s">
        <v>343</v>
      </c>
    </row>
    <row r="88" spans="1:2" x14ac:dyDescent="0.2">
      <c r="A88" t="s">
        <v>344</v>
      </c>
    </row>
    <row r="89" spans="1:2" x14ac:dyDescent="0.2">
      <c r="A89" t="s">
        <v>345</v>
      </c>
    </row>
    <row r="90" spans="1:2" x14ac:dyDescent="0.2">
      <c r="A90" t="s">
        <v>346</v>
      </c>
    </row>
    <row r="91" spans="1:2" x14ac:dyDescent="0.2">
      <c r="A91" t="s">
        <v>348</v>
      </c>
    </row>
    <row r="92" spans="1:2" x14ac:dyDescent="0.2">
      <c r="A92" t="s">
        <v>350</v>
      </c>
      <c r="B92" t="s">
        <v>976</v>
      </c>
    </row>
    <row r="93" spans="1:2" x14ac:dyDescent="0.2">
      <c r="A93" t="s">
        <v>350</v>
      </c>
      <c r="B93" t="s">
        <v>977</v>
      </c>
    </row>
    <row r="94" spans="1:2" x14ac:dyDescent="0.2">
      <c r="A94" t="s">
        <v>350</v>
      </c>
      <c r="B94" t="s">
        <v>978</v>
      </c>
    </row>
    <row r="95" spans="1:2" x14ac:dyDescent="0.2">
      <c r="A95" t="s">
        <v>350</v>
      </c>
      <c r="B95" t="s">
        <v>979</v>
      </c>
    </row>
    <row r="96" spans="1:2" x14ac:dyDescent="0.2">
      <c r="A96" t="s">
        <v>920</v>
      </c>
    </row>
    <row r="97" spans="1:2" x14ac:dyDescent="0.2">
      <c r="A97" t="s">
        <v>921</v>
      </c>
    </row>
    <row r="98" spans="1:2" x14ac:dyDescent="0.2">
      <c r="A98" t="s">
        <v>349</v>
      </c>
    </row>
    <row r="99" spans="1:2" x14ac:dyDescent="0.2">
      <c r="A99" t="s">
        <v>931</v>
      </c>
    </row>
    <row r="100" spans="1:2" x14ac:dyDescent="0.2">
      <c r="A100" t="s">
        <v>936</v>
      </c>
    </row>
    <row r="101" spans="1:2" x14ac:dyDescent="0.2">
      <c r="A101" t="s">
        <v>351</v>
      </c>
    </row>
    <row r="102" spans="1:2" x14ac:dyDescent="0.2">
      <c r="A102" t="s">
        <v>352</v>
      </c>
    </row>
    <row r="103" spans="1:2" x14ac:dyDescent="0.2">
      <c r="A103" t="s">
        <v>353</v>
      </c>
    </row>
    <row r="104" spans="1:2" x14ac:dyDescent="0.2">
      <c r="A104" t="s">
        <v>354</v>
      </c>
    </row>
    <row r="105" spans="1:2" x14ac:dyDescent="0.2">
      <c r="A105" t="s">
        <v>959</v>
      </c>
    </row>
    <row r="106" spans="1:2" x14ac:dyDescent="0.2">
      <c r="A106" t="s">
        <v>961</v>
      </c>
    </row>
    <row r="107" spans="1:2" x14ac:dyDescent="0.2">
      <c r="A107" t="s">
        <v>963</v>
      </c>
    </row>
    <row r="108" spans="1:2" x14ac:dyDescent="0.2">
      <c r="A108" t="s">
        <v>827</v>
      </c>
    </row>
    <row r="109" spans="1:2" x14ac:dyDescent="0.2">
      <c r="A109" t="s">
        <v>298</v>
      </c>
      <c r="B109" t="s">
        <v>299</v>
      </c>
    </row>
    <row r="110" spans="1:2" x14ac:dyDescent="0.2">
      <c r="A110" t="s">
        <v>298</v>
      </c>
      <c r="B110" t="s">
        <v>980</v>
      </c>
    </row>
    <row r="111" spans="1:2" x14ac:dyDescent="0.2">
      <c r="A111" t="s">
        <v>298</v>
      </c>
      <c r="B111" t="s">
        <v>300</v>
      </c>
    </row>
    <row r="112" spans="1:2" x14ac:dyDescent="0.2">
      <c r="A112" t="s">
        <v>298</v>
      </c>
      <c r="B112" t="s">
        <v>981</v>
      </c>
    </row>
    <row r="113" spans="1:2" x14ac:dyDescent="0.2">
      <c r="A113" t="s">
        <v>298</v>
      </c>
      <c r="B113" t="s">
        <v>301</v>
      </c>
    </row>
    <row r="114" spans="1:2" x14ac:dyDescent="0.2">
      <c r="A114" t="s">
        <v>298</v>
      </c>
      <c r="B114" t="s">
        <v>302</v>
      </c>
    </row>
    <row r="115" spans="1:2" x14ac:dyDescent="0.2">
      <c r="A115" t="s">
        <v>298</v>
      </c>
      <c r="B115" t="s">
        <v>303</v>
      </c>
    </row>
    <row r="116" spans="1:2" x14ac:dyDescent="0.2">
      <c r="A116" t="s">
        <v>298</v>
      </c>
      <c r="B116" t="s">
        <v>304</v>
      </c>
    </row>
    <row r="117" spans="1:2" x14ac:dyDescent="0.2">
      <c r="A117" t="s">
        <v>298</v>
      </c>
      <c r="B117" t="s">
        <v>305</v>
      </c>
    </row>
    <row r="118" spans="1:2" x14ac:dyDescent="0.2">
      <c r="A118" t="s">
        <v>306</v>
      </c>
    </row>
    <row r="119" spans="1:2" x14ac:dyDescent="0.2">
      <c r="A119" t="s">
        <v>314</v>
      </c>
    </row>
    <row r="120" spans="1:2" x14ac:dyDescent="0.2">
      <c r="A120" t="s">
        <v>297</v>
      </c>
    </row>
    <row r="121" spans="1:2" x14ac:dyDescent="0.2">
      <c r="A121" t="s">
        <v>210</v>
      </c>
    </row>
    <row r="122" spans="1:2" x14ac:dyDescent="0.2">
      <c r="A122" t="s">
        <v>386</v>
      </c>
    </row>
    <row r="123" spans="1:2" x14ac:dyDescent="0.2">
      <c r="A123" t="s">
        <v>387</v>
      </c>
    </row>
    <row r="124" spans="1:2" x14ac:dyDescent="0.2">
      <c r="A124" t="s">
        <v>391</v>
      </c>
    </row>
    <row r="125" spans="1:2" x14ac:dyDescent="0.2">
      <c r="A125" t="s">
        <v>392</v>
      </c>
    </row>
    <row r="126" spans="1:2" x14ac:dyDescent="0.2">
      <c r="A126" t="s">
        <v>394</v>
      </c>
    </row>
    <row r="127" spans="1:2" x14ac:dyDescent="0.2">
      <c r="A127" t="s">
        <v>393</v>
      </c>
    </row>
    <row r="128" spans="1:2" x14ac:dyDescent="0.2">
      <c r="A128" t="s">
        <v>395</v>
      </c>
    </row>
    <row r="129" spans="1:2" x14ac:dyDescent="0.2">
      <c r="A129" t="s">
        <v>201</v>
      </c>
      <c r="B129" t="s">
        <v>396</v>
      </c>
    </row>
    <row r="130" spans="1:2" x14ac:dyDescent="0.2">
      <c r="A130" t="s">
        <v>201</v>
      </c>
      <c r="B130" t="s">
        <v>397</v>
      </c>
    </row>
    <row r="131" spans="1:2" x14ac:dyDescent="0.2">
      <c r="A131" t="s">
        <v>201</v>
      </c>
      <c r="B131" t="s">
        <v>398</v>
      </c>
    </row>
    <row r="132" spans="1:2" x14ac:dyDescent="0.2">
      <c r="A132" t="s">
        <v>201</v>
      </c>
      <c r="B132" t="s">
        <v>399</v>
      </c>
    </row>
    <row r="133" spans="1:2" x14ac:dyDescent="0.2">
      <c r="A133" t="s">
        <v>201</v>
      </c>
      <c r="B133" t="s">
        <v>982</v>
      </c>
    </row>
    <row r="134" spans="1:2" x14ac:dyDescent="0.2">
      <c r="A134" t="s">
        <v>201</v>
      </c>
      <c r="B134" t="s">
        <v>400</v>
      </c>
    </row>
    <row r="135" spans="1:2" x14ac:dyDescent="0.2">
      <c r="A135" t="s">
        <v>201</v>
      </c>
      <c r="B135" t="s">
        <v>401</v>
      </c>
    </row>
    <row r="136" spans="1:2" x14ac:dyDescent="0.2">
      <c r="A136" t="s">
        <v>201</v>
      </c>
      <c r="B136" t="s">
        <v>402</v>
      </c>
    </row>
    <row r="137" spans="1:2" x14ac:dyDescent="0.2">
      <c r="A137" t="s">
        <v>201</v>
      </c>
      <c r="B137" t="s">
        <v>403</v>
      </c>
    </row>
    <row r="138" spans="1:2" x14ac:dyDescent="0.2">
      <c r="A138" t="s">
        <v>201</v>
      </c>
      <c r="B138" t="s">
        <v>404</v>
      </c>
    </row>
    <row r="139" spans="1:2" x14ac:dyDescent="0.2">
      <c r="A139" t="s">
        <v>201</v>
      </c>
      <c r="B139" t="s">
        <v>405</v>
      </c>
    </row>
    <row r="140" spans="1:2" x14ac:dyDescent="0.2">
      <c r="A140" t="s">
        <v>201</v>
      </c>
      <c r="B140" t="s">
        <v>983</v>
      </c>
    </row>
    <row r="141" spans="1:2" x14ac:dyDescent="0.2">
      <c r="A141" t="s">
        <v>201</v>
      </c>
      <c r="B141" t="s">
        <v>984</v>
      </c>
    </row>
    <row r="142" spans="1:2" x14ac:dyDescent="0.2">
      <c r="A142" t="s">
        <v>406</v>
      </c>
    </row>
    <row r="143" spans="1:2" x14ac:dyDescent="0.2">
      <c r="A143" t="s">
        <v>407</v>
      </c>
    </row>
    <row r="144" spans="1:2" x14ac:dyDescent="0.2">
      <c r="A144" t="s">
        <v>362</v>
      </c>
    </row>
    <row r="145" spans="1:1" x14ac:dyDescent="0.2">
      <c r="A145" t="s">
        <v>363</v>
      </c>
    </row>
    <row r="146" spans="1:1" x14ac:dyDescent="0.2">
      <c r="A146" t="s">
        <v>846</v>
      </c>
    </row>
    <row r="147" spans="1:1" x14ac:dyDescent="0.2">
      <c r="A147" t="s">
        <v>847</v>
      </c>
    </row>
    <row r="148" spans="1:1" x14ac:dyDescent="0.2">
      <c r="A148" t="s">
        <v>408</v>
      </c>
    </row>
    <row r="149" spans="1:1" x14ac:dyDescent="0.2">
      <c r="A149" t="s">
        <v>849</v>
      </c>
    </row>
    <row r="150" spans="1:1" x14ac:dyDescent="0.2">
      <c r="A150" t="s">
        <v>409</v>
      </c>
    </row>
    <row r="151" spans="1:1" x14ac:dyDescent="0.2">
      <c r="A151" t="s">
        <v>850</v>
      </c>
    </row>
    <row r="152" spans="1:1" x14ac:dyDescent="0.2">
      <c r="A152" t="s">
        <v>410</v>
      </c>
    </row>
    <row r="153" spans="1:1" x14ac:dyDescent="0.2">
      <c r="A153" t="s">
        <v>411</v>
      </c>
    </row>
    <row r="154" spans="1:1" x14ac:dyDescent="0.2">
      <c r="A154" t="s">
        <v>852</v>
      </c>
    </row>
    <row r="155" spans="1:1" x14ac:dyDescent="0.2">
      <c r="A155" t="s">
        <v>412</v>
      </c>
    </row>
    <row r="156" spans="1:1" x14ac:dyDescent="0.2">
      <c r="A156" t="s">
        <v>413</v>
      </c>
    </row>
    <row r="157" spans="1:1" x14ac:dyDescent="0.2">
      <c r="A157" t="s">
        <v>857</v>
      </c>
    </row>
    <row r="158" spans="1:1" x14ac:dyDescent="0.2">
      <c r="A158" t="s">
        <v>414</v>
      </c>
    </row>
    <row r="159" spans="1:1" x14ac:dyDescent="0.2">
      <c r="A159" t="s">
        <v>868</v>
      </c>
    </row>
    <row r="160" spans="1:1" x14ac:dyDescent="0.2">
      <c r="A160" t="s">
        <v>869</v>
      </c>
    </row>
    <row r="161" spans="1:2" x14ac:dyDescent="0.2">
      <c r="A161" t="s">
        <v>415</v>
      </c>
    </row>
    <row r="162" spans="1:2" x14ac:dyDescent="0.2">
      <c r="A162" t="s">
        <v>416</v>
      </c>
    </row>
    <row r="163" spans="1:2" x14ac:dyDescent="0.2">
      <c r="A163" t="s">
        <v>417</v>
      </c>
    </row>
    <row r="164" spans="1:2" x14ac:dyDescent="0.2">
      <c r="A164" t="s">
        <v>418</v>
      </c>
    </row>
    <row r="165" spans="1:2" x14ac:dyDescent="0.2">
      <c r="A165" t="s">
        <v>369</v>
      </c>
    </row>
    <row r="166" spans="1:2" x14ac:dyDescent="0.2">
      <c r="A166" t="s">
        <v>419</v>
      </c>
    </row>
    <row r="167" spans="1:2" x14ac:dyDescent="0.2">
      <c r="A167" t="s">
        <v>420</v>
      </c>
    </row>
    <row r="168" spans="1:2" x14ac:dyDescent="0.2">
      <c r="A168" t="s">
        <v>421</v>
      </c>
    </row>
    <row r="169" spans="1:2" x14ac:dyDescent="0.2">
      <c r="A169" t="s">
        <v>422</v>
      </c>
    </row>
    <row r="170" spans="1:2" x14ac:dyDescent="0.2">
      <c r="A170" t="s">
        <v>876</v>
      </c>
    </row>
    <row r="171" spans="1:2" x14ac:dyDescent="0.2">
      <c r="A171" t="s">
        <v>423</v>
      </c>
      <c r="B171" t="s">
        <v>985</v>
      </c>
    </row>
    <row r="172" spans="1:2" x14ac:dyDescent="0.2">
      <c r="A172" t="s">
        <v>423</v>
      </c>
      <c r="B172" t="s">
        <v>986</v>
      </c>
    </row>
    <row r="173" spans="1:2" x14ac:dyDescent="0.2">
      <c r="A173" t="s">
        <v>423</v>
      </c>
      <c r="B173" t="s">
        <v>987</v>
      </c>
    </row>
    <row r="174" spans="1:2" x14ac:dyDescent="0.2">
      <c r="A174" t="s">
        <v>423</v>
      </c>
      <c r="B174" t="s">
        <v>988</v>
      </c>
    </row>
    <row r="175" spans="1:2" x14ac:dyDescent="0.2">
      <c r="A175" t="s">
        <v>423</v>
      </c>
      <c r="B175" t="s">
        <v>979</v>
      </c>
    </row>
    <row r="176" spans="1:2" x14ac:dyDescent="0.2">
      <c r="A176" t="s">
        <v>424</v>
      </c>
    </row>
    <row r="177" spans="1:2" x14ac:dyDescent="0.2">
      <c r="A177" t="s">
        <v>885</v>
      </c>
    </row>
    <row r="178" spans="1:2" x14ac:dyDescent="0.2">
      <c r="A178" t="s">
        <v>425</v>
      </c>
    </row>
    <row r="179" spans="1:2" x14ac:dyDescent="0.2">
      <c r="A179" t="s">
        <v>888</v>
      </c>
    </row>
    <row r="180" spans="1:2" x14ac:dyDescent="0.2">
      <c r="A180" t="s">
        <v>426</v>
      </c>
    </row>
    <row r="181" spans="1:2" x14ac:dyDescent="0.2">
      <c r="A181" t="s">
        <v>427</v>
      </c>
    </row>
    <row r="182" spans="1:2" x14ac:dyDescent="0.2">
      <c r="A182" t="s">
        <v>890</v>
      </c>
    </row>
    <row r="183" spans="1:2" x14ac:dyDescent="0.2">
      <c r="A183" t="s">
        <v>428</v>
      </c>
      <c r="B183" t="s">
        <v>429</v>
      </c>
    </row>
    <row r="184" spans="1:2" x14ac:dyDescent="0.2">
      <c r="A184" t="s">
        <v>428</v>
      </c>
      <c r="B184" t="s">
        <v>989</v>
      </c>
    </row>
    <row r="185" spans="1:2" x14ac:dyDescent="0.2">
      <c r="A185" t="s">
        <v>428</v>
      </c>
      <c r="B185" t="s">
        <v>990</v>
      </c>
    </row>
    <row r="186" spans="1:2" x14ac:dyDescent="0.2">
      <c r="A186" t="s">
        <v>428</v>
      </c>
      <c r="B186" t="s">
        <v>991</v>
      </c>
    </row>
    <row r="187" spans="1:2" x14ac:dyDescent="0.2">
      <c r="A187" t="s">
        <v>428</v>
      </c>
      <c r="B187" t="s">
        <v>992</v>
      </c>
    </row>
    <row r="188" spans="1:2" x14ac:dyDescent="0.2">
      <c r="A188" t="s">
        <v>428</v>
      </c>
      <c r="B188" t="s">
        <v>993</v>
      </c>
    </row>
    <row r="189" spans="1:2" x14ac:dyDescent="0.2">
      <c r="A189" t="s">
        <v>428</v>
      </c>
      <c r="B189" t="s">
        <v>994</v>
      </c>
    </row>
    <row r="190" spans="1:2" x14ac:dyDescent="0.2">
      <c r="A190" t="s">
        <v>430</v>
      </c>
    </row>
    <row r="191" spans="1:2" x14ac:dyDescent="0.2">
      <c r="A191" t="s">
        <v>431</v>
      </c>
    </row>
    <row r="192" spans="1:2" x14ac:dyDescent="0.2">
      <c r="A192" t="s">
        <v>311</v>
      </c>
      <c r="B192" t="s">
        <v>995</v>
      </c>
    </row>
    <row r="193" spans="1:2" x14ac:dyDescent="0.2">
      <c r="A193" t="s">
        <v>311</v>
      </c>
      <c r="B193" t="s">
        <v>434</v>
      </c>
    </row>
    <row r="194" spans="1:2" x14ac:dyDescent="0.2">
      <c r="A194" t="s">
        <v>311</v>
      </c>
      <c r="B194" t="s">
        <v>432</v>
      </c>
    </row>
    <row r="195" spans="1:2" x14ac:dyDescent="0.2">
      <c r="A195" t="s">
        <v>311</v>
      </c>
      <c r="B195" t="s">
        <v>435</v>
      </c>
    </row>
    <row r="196" spans="1:2" x14ac:dyDescent="0.2">
      <c r="A196" t="s">
        <v>311</v>
      </c>
      <c r="B196" t="s">
        <v>436</v>
      </c>
    </row>
    <row r="197" spans="1:2" x14ac:dyDescent="0.2">
      <c r="A197" t="s">
        <v>311</v>
      </c>
      <c r="B197" t="s">
        <v>312</v>
      </c>
    </row>
    <row r="198" spans="1:2" x14ac:dyDescent="0.2">
      <c r="A198" t="s">
        <v>311</v>
      </c>
      <c r="B198" t="s">
        <v>996</v>
      </c>
    </row>
    <row r="199" spans="1:2" x14ac:dyDescent="0.2">
      <c r="A199" t="s">
        <v>311</v>
      </c>
      <c r="B199" t="s">
        <v>437</v>
      </c>
    </row>
    <row r="200" spans="1:2" x14ac:dyDescent="0.2">
      <c r="A200" t="s">
        <v>311</v>
      </c>
      <c r="B200" t="s">
        <v>433</v>
      </c>
    </row>
    <row r="201" spans="1:2" x14ac:dyDescent="0.2">
      <c r="A201" t="s">
        <v>311</v>
      </c>
      <c r="B201" t="s">
        <v>997</v>
      </c>
    </row>
    <row r="202" spans="1:2" x14ac:dyDescent="0.2">
      <c r="A202" t="s">
        <v>311</v>
      </c>
      <c r="B202" t="s">
        <v>998</v>
      </c>
    </row>
    <row r="203" spans="1:2" x14ac:dyDescent="0.2">
      <c r="A203" t="s">
        <v>311</v>
      </c>
      <c r="B203" t="s">
        <v>438</v>
      </c>
    </row>
    <row r="204" spans="1:2" x14ac:dyDescent="0.2">
      <c r="A204" t="s">
        <v>896</v>
      </c>
    </row>
    <row r="205" spans="1:2" x14ac:dyDescent="0.2">
      <c r="A205" t="s">
        <v>897</v>
      </c>
    </row>
    <row r="206" spans="1:2" x14ac:dyDescent="0.2">
      <c r="A206" t="s">
        <v>898</v>
      </c>
    </row>
    <row r="207" spans="1:2" x14ac:dyDescent="0.2">
      <c r="A207" t="s">
        <v>899</v>
      </c>
    </row>
    <row r="208" spans="1:2" x14ac:dyDescent="0.2">
      <c r="A208" t="s">
        <v>902</v>
      </c>
    </row>
    <row r="209" spans="1:2" x14ac:dyDescent="0.2">
      <c r="A209" t="s">
        <v>903</v>
      </c>
    </row>
    <row r="210" spans="1:2" x14ac:dyDescent="0.2">
      <c r="A210" t="s">
        <v>439</v>
      </c>
    </row>
    <row r="211" spans="1:2" x14ac:dyDescent="0.2">
      <c r="A211" t="s">
        <v>377</v>
      </c>
    </row>
    <row r="212" spans="1:2" x14ac:dyDescent="0.2">
      <c r="A212" t="s">
        <v>440</v>
      </c>
    </row>
    <row r="213" spans="1:2" x14ac:dyDescent="0.2">
      <c r="A213" t="s">
        <v>380</v>
      </c>
      <c r="B213" t="s">
        <v>999</v>
      </c>
    </row>
    <row r="214" spans="1:2" x14ac:dyDescent="0.2">
      <c r="A214" t="s">
        <v>380</v>
      </c>
      <c r="B214" t="s">
        <v>441</v>
      </c>
    </row>
    <row r="215" spans="1:2" x14ac:dyDescent="0.2">
      <c r="A215" t="s">
        <v>380</v>
      </c>
      <c r="B215" t="s">
        <v>1000</v>
      </c>
    </row>
    <row r="216" spans="1:2" x14ac:dyDescent="0.2">
      <c r="A216" t="s">
        <v>380</v>
      </c>
      <c r="B216" t="s">
        <v>442</v>
      </c>
    </row>
    <row r="217" spans="1:2" x14ac:dyDescent="0.2">
      <c r="A217" t="s">
        <v>380</v>
      </c>
      <c r="B217" t="s">
        <v>1001</v>
      </c>
    </row>
    <row r="218" spans="1:2" x14ac:dyDescent="0.2">
      <c r="A218" t="s">
        <v>380</v>
      </c>
      <c r="B218" t="s">
        <v>1002</v>
      </c>
    </row>
    <row r="219" spans="1:2" x14ac:dyDescent="0.2">
      <c r="A219" t="s">
        <v>380</v>
      </c>
      <c r="B219" t="s">
        <v>443</v>
      </c>
    </row>
    <row r="220" spans="1:2" x14ac:dyDescent="0.2">
      <c r="A220" t="s">
        <v>380</v>
      </c>
      <c r="B220" t="s">
        <v>444</v>
      </c>
    </row>
    <row r="221" spans="1:2" x14ac:dyDescent="0.2">
      <c r="A221" t="s">
        <v>380</v>
      </c>
      <c r="B221" t="s">
        <v>445</v>
      </c>
    </row>
    <row r="222" spans="1:2" x14ac:dyDescent="0.2">
      <c r="A222" t="s">
        <v>380</v>
      </c>
      <c r="B222" t="s">
        <v>1003</v>
      </c>
    </row>
    <row r="223" spans="1:2" x14ac:dyDescent="0.2">
      <c r="A223" t="s">
        <v>380</v>
      </c>
      <c r="B223" t="s">
        <v>446</v>
      </c>
    </row>
    <row r="224" spans="1:2" x14ac:dyDescent="0.2">
      <c r="A224" t="s">
        <v>380</v>
      </c>
      <c r="B224" t="s">
        <v>447</v>
      </c>
    </row>
    <row r="225" spans="1:2" x14ac:dyDescent="0.2">
      <c r="A225" t="s">
        <v>380</v>
      </c>
      <c r="B225" t="s">
        <v>448</v>
      </c>
    </row>
    <row r="226" spans="1:2" x14ac:dyDescent="0.2">
      <c r="A226" t="s">
        <v>380</v>
      </c>
      <c r="B226" t="s">
        <v>1341</v>
      </c>
    </row>
    <row r="227" spans="1:2" x14ac:dyDescent="0.2">
      <c r="A227" t="s">
        <v>380</v>
      </c>
      <c r="B227" t="s">
        <v>449</v>
      </c>
    </row>
    <row r="228" spans="1:2" x14ac:dyDescent="0.2">
      <c r="A228" t="s">
        <v>380</v>
      </c>
      <c r="B228" t="s">
        <v>450</v>
      </c>
    </row>
    <row r="229" spans="1:2" x14ac:dyDescent="0.2">
      <c r="A229" t="s">
        <v>380</v>
      </c>
      <c r="B229" t="s">
        <v>452</v>
      </c>
    </row>
    <row r="230" spans="1:2" x14ac:dyDescent="0.2">
      <c r="A230" t="s">
        <v>380</v>
      </c>
      <c r="B230" t="s">
        <v>1004</v>
      </c>
    </row>
    <row r="231" spans="1:2" x14ac:dyDescent="0.2">
      <c r="A231" t="s">
        <v>380</v>
      </c>
      <c r="B231" t="s">
        <v>453</v>
      </c>
    </row>
    <row r="232" spans="1:2" x14ac:dyDescent="0.2">
      <c r="A232" t="s">
        <v>380</v>
      </c>
      <c r="B232" t="s">
        <v>454</v>
      </c>
    </row>
    <row r="233" spans="1:2" x14ac:dyDescent="0.2">
      <c r="A233" t="s">
        <v>380</v>
      </c>
      <c r="B233" t="s">
        <v>455</v>
      </c>
    </row>
    <row r="234" spans="1:2" x14ac:dyDescent="0.2">
      <c r="A234" t="s">
        <v>380</v>
      </c>
      <c r="B234" t="s">
        <v>1005</v>
      </c>
    </row>
    <row r="235" spans="1:2" x14ac:dyDescent="0.2">
      <c r="A235" t="s">
        <v>380</v>
      </c>
      <c r="B235" t="s">
        <v>456</v>
      </c>
    </row>
    <row r="236" spans="1:2" x14ac:dyDescent="0.2">
      <c r="A236" t="s">
        <v>380</v>
      </c>
      <c r="B236" t="s">
        <v>457</v>
      </c>
    </row>
    <row r="237" spans="1:2" x14ac:dyDescent="0.2">
      <c r="A237" t="s">
        <v>380</v>
      </c>
      <c r="B237" t="s">
        <v>458</v>
      </c>
    </row>
    <row r="238" spans="1:2" x14ac:dyDescent="0.2">
      <c r="A238" t="s">
        <v>380</v>
      </c>
      <c r="B238" t="s">
        <v>1006</v>
      </c>
    </row>
    <row r="239" spans="1:2" x14ac:dyDescent="0.2">
      <c r="A239" t="s">
        <v>380</v>
      </c>
      <c r="B239" t="s">
        <v>1007</v>
      </c>
    </row>
    <row r="240" spans="1:2" x14ac:dyDescent="0.2">
      <c r="A240" t="s">
        <v>380</v>
      </c>
      <c r="B240" t="s">
        <v>459</v>
      </c>
    </row>
    <row r="241" spans="1:2" x14ac:dyDescent="0.2">
      <c r="A241" t="s">
        <v>380</v>
      </c>
      <c r="B241" t="s">
        <v>460</v>
      </c>
    </row>
    <row r="242" spans="1:2" x14ac:dyDescent="0.2">
      <c r="A242" t="s">
        <v>380</v>
      </c>
      <c r="B242" t="s">
        <v>461</v>
      </c>
    </row>
    <row r="243" spans="1:2" x14ac:dyDescent="0.2">
      <c r="A243" t="s">
        <v>380</v>
      </c>
      <c r="B243" t="s">
        <v>462</v>
      </c>
    </row>
    <row r="244" spans="1:2" x14ac:dyDescent="0.2">
      <c r="A244" t="s">
        <v>380</v>
      </c>
      <c r="B244" t="s">
        <v>463</v>
      </c>
    </row>
    <row r="245" spans="1:2" x14ac:dyDescent="0.2">
      <c r="A245" t="s">
        <v>380</v>
      </c>
      <c r="B245" t="s">
        <v>464</v>
      </c>
    </row>
    <row r="246" spans="1:2" x14ac:dyDescent="0.2">
      <c r="A246" t="s">
        <v>380</v>
      </c>
      <c r="B246" t="s">
        <v>465</v>
      </c>
    </row>
    <row r="247" spans="1:2" x14ac:dyDescent="0.2">
      <c r="A247" t="s">
        <v>380</v>
      </c>
      <c r="B247" t="s">
        <v>1008</v>
      </c>
    </row>
    <row r="248" spans="1:2" x14ac:dyDescent="0.2">
      <c r="A248" t="s">
        <v>380</v>
      </c>
      <c r="B248" t="s">
        <v>473</v>
      </c>
    </row>
    <row r="249" spans="1:2" x14ac:dyDescent="0.2">
      <c r="A249" t="s">
        <v>380</v>
      </c>
      <c r="B249" t="s">
        <v>1009</v>
      </c>
    </row>
    <row r="250" spans="1:2" x14ac:dyDescent="0.2">
      <c r="A250" t="s">
        <v>380</v>
      </c>
      <c r="B250" t="s">
        <v>402</v>
      </c>
    </row>
    <row r="251" spans="1:2" x14ac:dyDescent="0.2">
      <c r="A251" t="s">
        <v>380</v>
      </c>
      <c r="B251" t="s">
        <v>1010</v>
      </c>
    </row>
    <row r="252" spans="1:2" x14ac:dyDescent="0.2">
      <c r="A252" t="s">
        <v>380</v>
      </c>
      <c r="B252" t="s">
        <v>1011</v>
      </c>
    </row>
    <row r="253" spans="1:2" x14ac:dyDescent="0.2">
      <c r="A253" t="s">
        <v>466</v>
      </c>
    </row>
    <row r="254" spans="1:2" x14ac:dyDescent="0.2">
      <c r="A254" t="s">
        <v>467</v>
      </c>
    </row>
    <row r="255" spans="1:2" x14ac:dyDescent="0.2">
      <c r="A255" t="s">
        <v>918</v>
      </c>
    </row>
    <row r="256" spans="1:2" x14ac:dyDescent="0.2">
      <c r="A256" t="s">
        <v>468</v>
      </c>
    </row>
    <row r="257" spans="1:2" x14ac:dyDescent="0.2">
      <c r="A257" t="s">
        <v>919</v>
      </c>
    </row>
    <row r="258" spans="1:2" x14ac:dyDescent="0.2">
      <c r="A258" t="s">
        <v>469</v>
      </c>
    </row>
    <row r="259" spans="1:2" x14ac:dyDescent="0.2">
      <c r="A259" t="s">
        <v>470</v>
      </c>
    </row>
    <row r="260" spans="1:2" x14ac:dyDescent="0.2">
      <c r="A260" t="s">
        <v>923</v>
      </c>
    </row>
    <row r="261" spans="1:2" x14ac:dyDescent="0.2">
      <c r="A261" t="s">
        <v>471</v>
      </c>
    </row>
    <row r="262" spans="1:2" x14ac:dyDescent="0.2">
      <c r="A262" t="s">
        <v>472</v>
      </c>
    </row>
    <row r="263" spans="1:2" x14ac:dyDescent="0.2">
      <c r="A263" t="s">
        <v>938</v>
      </c>
    </row>
    <row r="264" spans="1:2" x14ac:dyDescent="0.2">
      <c r="A264" t="s">
        <v>952</v>
      </c>
    </row>
    <row r="265" spans="1:2" x14ac:dyDescent="0.2">
      <c r="A265" t="s">
        <v>474</v>
      </c>
    </row>
    <row r="266" spans="1:2" x14ac:dyDescent="0.2">
      <c r="A266" t="s">
        <v>475</v>
      </c>
    </row>
    <row r="267" spans="1:2" x14ac:dyDescent="0.2">
      <c r="A267" t="s">
        <v>476</v>
      </c>
    </row>
    <row r="268" spans="1:2" x14ac:dyDescent="0.2">
      <c r="A268" t="s">
        <v>220</v>
      </c>
      <c r="B268" t="s">
        <v>477</v>
      </c>
    </row>
    <row r="269" spans="1:2" x14ac:dyDescent="0.2">
      <c r="A269" t="s">
        <v>220</v>
      </c>
      <c r="B269" t="s">
        <v>1012</v>
      </c>
    </row>
    <row r="270" spans="1:2" x14ac:dyDescent="0.2">
      <c r="A270" t="s">
        <v>220</v>
      </c>
      <c r="B270" t="s">
        <v>1013</v>
      </c>
    </row>
    <row r="271" spans="1:2" x14ac:dyDescent="0.2">
      <c r="A271" t="s">
        <v>220</v>
      </c>
      <c r="B271" t="s">
        <v>478</v>
      </c>
    </row>
    <row r="272" spans="1:2" x14ac:dyDescent="0.2">
      <c r="A272" t="s">
        <v>962</v>
      </c>
    </row>
    <row r="273" spans="1:2" x14ac:dyDescent="0.2">
      <c r="A273" t="s">
        <v>482</v>
      </c>
      <c r="B273" t="s">
        <v>484</v>
      </c>
    </row>
    <row r="274" spans="1:2" x14ac:dyDescent="0.2">
      <c r="A274" t="s">
        <v>482</v>
      </c>
      <c r="B274" t="s">
        <v>485</v>
      </c>
    </row>
    <row r="275" spans="1:2" x14ac:dyDescent="0.2">
      <c r="A275" t="s">
        <v>482</v>
      </c>
      <c r="B275" t="s">
        <v>480</v>
      </c>
    </row>
    <row r="276" spans="1:2" x14ac:dyDescent="0.2">
      <c r="A276" t="s">
        <v>482</v>
      </c>
      <c r="B276" t="s">
        <v>481</v>
      </c>
    </row>
    <row r="277" spans="1:2" x14ac:dyDescent="0.2">
      <c r="A277" t="s">
        <v>482</v>
      </c>
      <c r="B277" t="s">
        <v>479</v>
      </c>
    </row>
    <row r="278" spans="1:2" x14ac:dyDescent="0.2">
      <c r="A278" t="s">
        <v>486</v>
      </c>
    </row>
    <row r="279" spans="1:2" x14ac:dyDescent="0.2">
      <c r="A279" t="s">
        <v>1342</v>
      </c>
    </row>
    <row r="280" spans="1:2" x14ac:dyDescent="0.2">
      <c r="A280" t="s">
        <v>388</v>
      </c>
    </row>
    <row r="281" spans="1:2" x14ac:dyDescent="0.2">
      <c r="A281" t="s">
        <v>389</v>
      </c>
    </row>
    <row r="282" spans="1:2" x14ac:dyDescent="0.2">
      <c r="A282" t="s">
        <v>390</v>
      </c>
    </row>
    <row r="283" spans="1:2" x14ac:dyDescent="0.2">
      <c r="A283" t="s">
        <v>358</v>
      </c>
    </row>
    <row r="284" spans="1:2" x14ac:dyDescent="0.2">
      <c r="A284" t="s">
        <v>833</v>
      </c>
    </row>
    <row r="285" spans="1:2" x14ac:dyDescent="0.2">
      <c r="A285" t="s">
        <v>359</v>
      </c>
    </row>
    <row r="286" spans="1:2" x14ac:dyDescent="0.2">
      <c r="A286" t="s">
        <v>360</v>
      </c>
    </row>
    <row r="287" spans="1:2" x14ac:dyDescent="0.2">
      <c r="A287" t="s">
        <v>361</v>
      </c>
    </row>
    <row r="288" spans="1:2" x14ac:dyDescent="0.2">
      <c r="A288" t="s">
        <v>840</v>
      </c>
    </row>
    <row r="289" spans="1:1" x14ac:dyDescent="0.2">
      <c r="A289" t="s">
        <v>844</v>
      </c>
    </row>
    <row r="290" spans="1:1" x14ac:dyDescent="0.2">
      <c r="A290" t="s">
        <v>321</v>
      </c>
    </row>
    <row r="291" spans="1:1" x14ac:dyDescent="0.2">
      <c r="A291" t="s">
        <v>364</v>
      </c>
    </row>
    <row r="292" spans="1:1" x14ac:dyDescent="0.2">
      <c r="A292" t="s">
        <v>851</v>
      </c>
    </row>
    <row r="293" spans="1:1" x14ac:dyDescent="0.2">
      <c r="A293" t="s">
        <v>365</v>
      </c>
    </row>
    <row r="294" spans="1:1" x14ac:dyDescent="0.2">
      <c r="A294" t="s">
        <v>366</v>
      </c>
    </row>
    <row r="295" spans="1:1" x14ac:dyDescent="0.2">
      <c r="A295" t="s">
        <v>367</v>
      </c>
    </row>
    <row r="296" spans="1:1" x14ac:dyDescent="0.2">
      <c r="A296" t="s">
        <v>368</v>
      </c>
    </row>
    <row r="297" spans="1:1" x14ac:dyDescent="0.2">
      <c r="A297" t="s">
        <v>865</v>
      </c>
    </row>
    <row r="298" spans="1:1" x14ac:dyDescent="0.2">
      <c r="A298" t="s">
        <v>870</v>
      </c>
    </row>
    <row r="299" spans="1:1" x14ac:dyDescent="0.2">
      <c r="A299" t="s">
        <v>872</v>
      </c>
    </row>
    <row r="300" spans="1:1" x14ac:dyDescent="0.2">
      <c r="A300" t="s">
        <v>370</v>
      </c>
    </row>
    <row r="301" spans="1:1" x14ac:dyDescent="0.2">
      <c r="A301" t="s">
        <v>371</v>
      </c>
    </row>
    <row r="302" spans="1:1" x14ac:dyDescent="0.2">
      <c r="A302" t="s">
        <v>372</v>
      </c>
    </row>
    <row r="303" spans="1:1" x14ac:dyDescent="0.2">
      <c r="A303" t="s">
        <v>887</v>
      </c>
    </row>
    <row r="304" spans="1:1" x14ac:dyDescent="0.2">
      <c r="A304" t="s">
        <v>889</v>
      </c>
    </row>
    <row r="305" spans="1:2" x14ac:dyDescent="0.2">
      <c r="A305" t="s">
        <v>374</v>
      </c>
    </row>
    <row r="306" spans="1:2" x14ac:dyDescent="0.2">
      <c r="A306" t="s">
        <v>375</v>
      </c>
    </row>
    <row r="307" spans="1:2" x14ac:dyDescent="0.2">
      <c r="A307" t="s">
        <v>895</v>
      </c>
    </row>
    <row r="308" spans="1:2" x14ac:dyDescent="0.2">
      <c r="A308" t="s">
        <v>376</v>
      </c>
    </row>
    <row r="309" spans="1:2" x14ac:dyDescent="0.2">
      <c r="A309" t="s">
        <v>379</v>
      </c>
    </row>
    <row r="310" spans="1:2" x14ac:dyDescent="0.2">
      <c r="A310" t="s">
        <v>381</v>
      </c>
    </row>
    <row r="311" spans="1:2" x14ac:dyDescent="0.2">
      <c r="A311" t="s">
        <v>382</v>
      </c>
    </row>
    <row r="312" spans="1:2" x14ac:dyDescent="0.2">
      <c r="A312" t="s">
        <v>383</v>
      </c>
    </row>
    <row r="313" spans="1:2" x14ac:dyDescent="0.2">
      <c r="A313" t="s">
        <v>939</v>
      </c>
    </row>
    <row r="314" spans="1:2" x14ac:dyDescent="0.2">
      <c r="A314" t="s">
        <v>954</v>
      </c>
    </row>
    <row r="315" spans="1:2" x14ac:dyDescent="0.2">
      <c r="A315" t="s">
        <v>384</v>
      </c>
    </row>
    <row r="316" spans="1:2" x14ac:dyDescent="0.2">
      <c r="A316" t="s">
        <v>960</v>
      </c>
    </row>
    <row r="317" spans="1:2" x14ac:dyDescent="0.2">
      <c r="A317" t="s">
        <v>355</v>
      </c>
    </row>
    <row r="318" spans="1:2" x14ac:dyDescent="0.2">
      <c r="A318" t="s">
        <v>385</v>
      </c>
    </row>
    <row r="319" spans="1:2" x14ac:dyDescent="0.2">
      <c r="A319" t="s">
        <v>491</v>
      </c>
      <c r="B319" t="s">
        <v>1014</v>
      </c>
    </row>
    <row r="320" spans="1:2" x14ac:dyDescent="0.2">
      <c r="A320" t="s">
        <v>491</v>
      </c>
      <c r="B320" t="s">
        <v>492</v>
      </c>
    </row>
    <row r="321" spans="1:2" x14ac:dyDescent="0.2">
      <c r="A321" t="s">
        <v>491</v>
      </c>
      <c r="B321" t="s">
        <v>493</v>
      </c>
    </row>
    <row r="322" spans="1:2" x14ac:dyDescent="0.2">
      <c r="A322" t="s">
        <v>491</v>
      </c>
      <c r="B322" t="s">
        <v>494</v>
      </c>
    </row>
    <row r="323" spans="1:2" x14ac:dyDescent="0.2">
      <c r="A323" t="s">
        <v>491</v>
      </c>
      <c r="B323" t="s">
        <v>495</v>
      </c>
    </row>
    <row r="324" spans="1:2" x14ac:dyDescent="0.2">
      <c r="A324" t="s">
        <v>496</v>
      </c>
    </row>
    <row r="325" spans="1:2" x14ac:dyDescent="0.2">
      <c r="A325" t="s">
        <v>497</v>
      </c>
    </row>
    <row r="326" spans="1:2" x14ac:dyDescent="0.2">
      <c r="A326" t="s">
        <v>498</v>
      </c>
    </row>
    <row r="327" spans="1:2" x14ac:dyDescent="0.2">
      <c r="A327" t="s">
        <v>499</v>
      </c>
    </row>
    <row r="328" spans="1:2" x14ac:dyDescent="0.2">
      <c r="A328" t="s">
        <v>102</v>
      </c>
      <c r="B328" t="s">
        <v>1346</v>
      </c>
    </row>
    <row r="329" spans="1:2" x14ac:dyDescent="0.2">
      <c r="A329" t="s">
        <v>489</v>
      </c>
    </row>
    <row r="330" spans="1:2" x14ac:dyDescent="0.2">
      <c r="A330" t="s">
        <v>488</v>
      </c>
    </row>
    <row r="331" spans="1:2" x14ac:dyDescent="0.2">
      <c r="A331" t="s">
        <v>892</v>
      </c>
      <c r="B331" t="s">
        <v>1015</v>
      </c>
    </row>
    <row r="332" spans="1:2" x14ac:dyDescent="0.2">
      <c r="A332" t="s">
        <v>892</v>
      </c>
      <c r="B332" t="s">
        <v>1016</v>
      </c>
    </row>
    <row r="333" spans="1:2" x14ac:dyDescent="0.2">
      <c r="A333" t="s">
        <v>892</v>
      </c>
      <c r="B333" t="s">
        <v>1017</v>
      </c>
    </row>
    <row r="334" spans="1:2" x14ac:dyDescent="0.2">
      <c r="A334" t="s">
        <v>892</v>
      </c>
      <c r="B334" t="s">
        <v>1018</v>
      </c>
    </row>
    <row r="335" spans="1:2" x14ac:dyDescent="0.2">
      <c r="A335" t="s">
        <v>829</v>
      </c>
    </row>
    <row r="336" spans="1:2" x14ac:dyDescent="0.2">
      <c r="A336" t="s">
        <v>523</v>
      </c>
    </row>
    <row r="337" spans="1:2" x14ac:dyDescent="0.2">
      <c r="A337" t="s">
        <v>487</v>
      </c>
    </row>
    <row r="338" spans="1:2" x14ac:dyDescent="0.2">
      <c r="A338" t="s">
        <v>1343</v>
      </c>
    </row>
    <row r="339" spans="1:2" x14ac:dyDescent="0.2">
      <c r="A339" t="s">
        <v>854</v>
      </c>
    </row>
    <row r="340" spans="1:2" x14ac:dyDescent="0.2">
      <c r="A340" t="s">
        <v>524</v>
      </c>
    </row>
    <row r="341" spans="1:2" x14ac:dyDescent="0.2">
      <c r="A341" t="s">
        <v>873</v>
      </c>
    </row>
    <row r="342" spans="1:2" x14ac:dyDescent="0.2">
      <c r="A342" t="s">
        <v>1344</v>
      </c>
      <c r="B342" t="s">
        <v>1347</v>
      </c>
    </row>
    <row r="343" spans="1:2" x14ac:dyDescent="0.2">
      <c r="A343" t="s">
        <v>883</v>
      </c>
    </row>
    <row r="344" spans="1:2" x14ac:dyDescent="0.2">
      <c r="A344" t="s">
        <v>500</v>
      </c>
    </row>
    <row r="345" spans="1:2" x14ac:dyDescent="0.2">
      <c r="A345" t="s">
        <v>906</v>
      </c>
    </row>
    <row r="346" spans="1:2" x14ac:dyDescent="0.2">
      <c r="A346" t="s">
        <v>525</v>
      </c>
    </row>
    <row r="347" spans="1:2" x14ac:dyDescent="0.2">
      <c r="A347" t="s">
        <v>527</v>
      </c>
    </row>
    <row r="348" spans="1:2" x14ac:dyDescent="0.2">
      <c r="A348" t="s">
        <v>528</v>
      </c>
    </row>
    <row r="349" spans="1:2" x14ac:dyDescent="0.2">
      <c r="A349" t="s">
        <v>313</v>
      </c>
    </row>
    <row r="350" spans="1:2" x14ac:dyDescent="0.2">
      <c r="A350" t="s">
        <v>909</v>
      </c>
    </row>
    <row r="351" spans="1:2" x14ac:dyDescent="0.2">
      <c r="A351" t="s">
        <v>911</v>
      </c>
    </row>
    <row r="352" spans="1:2" x14ac:dyDescent="0.2">
      <c r="A352" t="s">
        <v>529</v>
      </c>
    </row>
    <row r="353" spans="1:1" x14ac:dyDescent="0.2">
      <c r="A353" t="s">
        <v>948</v>
      </c>
    </row>
    <row r="354" spans="1:1" x14ac:dyDescent="0.2">
      <c r="A354" t="s">
        <v>955</v>
      </c>
    </row>
    <row r="355" spans="1:1" x14ac:dyDescent="0.2">
      <c r="A355" t="s">
        <v>510</v>
      </c>
    </row>
    <row r="356" spans="1:1" x14ac:dyDescent="0.2">
      <c r="A356" t="s">
        <v>828</v>
      </c>
    </row>
    <row r="357" spans="1:1" x14ac:dyDescent="0.2">
      <c r="A357" t="s">
        <v>831</v>
      </c>
    </row>
    <row r="358" spans="1:1" x14ac:dyDescent="0.2">
      <c r="A358" t="s">
        <v>964</v>
      </c>
    </row>
    <row r="359" spans="1:1" x14ac:dyDescent="0.2">
      <c r="A359" t="s">
        <v>834</v>
      </c>
    </row>
    <row r="360" spans="1:1" x14ac:dyDescent="0.2">
      <c r="A360" t="s">
        <v>835</v>
      </c>
    </row>
    <row r="361" spans="1:1" x14ac:dyDescent="0.2">
      <c r="A361" t="s">
        <v>837</v>
      </c>
    </row>
    <row r="362" spans="1:1" x14ac:dyDescent="0.2">
      <c r="A362" t="s">
        <v>838</v>
      </c>
    </row>
    <row r="363" spans="1:1" x14ac:dyDescent="0.2">
      <c r="A363" t="s">
        <v>836</v>
      </c>
    </row>
    <row r="364" spans="1:1" x14ac:dyDescent="0.2">
      <c r="A364" t="s">
        <v>841</v>
      </c>
    </row>
    <row r="365" spans="1:1" x14ac:dyDescent="0.2">
      <c r="A365" t="s">
        <v>839</v>
      </c>
    </row>
    <row r="366" spans="1:1" x14ac:dyDescent="0.2">
      <c r="A366" t="s">
        <v>843</v>
      </c>
    </row>
    <row r="367" spans="1:1" x14ac:dyDescent="0.2">
      <c r="A367" t="s">
        <v>848</v>
      </c>
    </row>
    <row r="368" spans="1:1" x14ac:dyDescent="0.2">
      <c r="A368" t="s">
        <v>845</v>
      </c>
    </row>
    <row r="369" spans="1:1" x14ac:dyDescent="0.2">
      <c r="A369" t="s">
        <v>856</v>
      </c>
    </row>
    <row r="370" spans="1:1" x14ac:dyDescent="0.2">
      <c r="A370" t="s">
        <v>853</v>
      </c>
    </row>
    <row r="371" spans="1:1" x14ac:dyDescent="0.2">
      <c r="A371" t="s">
        <v>855</v>
      </c>
    </row>
    <row r="372" spans="1:1" x14ac:dyDescent="0.2">
      <c r="A372" t="s">
        <v>858</v>
      </c>
    </row>
    <row r="373" spans="1:1" x14ac:dyDescent="0.2">
      <c r="A373" t="s">
        <v>859</v>
      </c>
    </row>
    <row r="374" spans="1:1" x14ac:dyDescent="0.2">
      <c r="A374" t="s">
        <v>860</v>
      </c>
    </row>
    <row r="375" spans="1:1" x14ac:dyDescent="0.2">
      <c r="A375" t="s">
        <v>861</v>
      </c>
    </row>
    <row r="376" spans="1:1" x14ac:dyDescent="0.2">
      <c r="A376" t="s">
        <v>863</v>
      </c>
    </row>
    <row r="377" spans="1:1" x14ac:dyDescent="0.2">
      <c r="A377" t="s">
        <v>511</v>
      </c>
    </row>
    <row r="378" spans="1:1" x14ac:dyDescent="0.2">
      <c r="A378" t="s">
        <v>864</v>
      </c>
    </row>
    <row r="379" spans="1:1" x14ac:dyDescent="0.2">
      <c r="A379" t="s">
        <v>866</v>
      </c>
    </row>
    <row r="380" spans="1:1" x14ac:dyDescent="0.2">
      <c r="A380" t="s">
        <v>512</v>
      </c>
    </row>
    <row r="381" spans="1:1" x14ac:dyDescent="0.2">
      <c r="A381" t="s">
        <v>867</v>
      </c>
    </row>
    <row r="382" spans="1:1" x14ac:dyDescent="0.2">
      <c r="A382" t="s">
        <v>871</v>
      </c>
    </row>
    <row r="383" spans="1:1" x14ac:dyDescent="0.2">
      <c r="A383" t="s">
        <v>504</v>
      </c>
    </row>
    <row r="384" spans="1:1" x14ac:dyDescent="0.2">
      <c r="A384" t="s">
        <v>874</v>
      </c>
    </row>
    <row r="385" spans="1:1" x14ac:dyDescent="0.2">
      <c r="A385" t="s">
        <v>875</v>
      </c>
    </row>
    <row r="386" spans="1:1" x14ac:dyDescent="0.2">
      <c r="A386" t="s">
        <v>513</v>
      </c>
    </row>
    <row r="387" spans="1:1" x14ac:dyDescent="0.2">
      <c r="A387" t="s">
        <v>514</v>
      </c>
    </row>
    <row r="388" spans="1:1" x14ac:dyDescent="0.2">
      <c r="A388" t="s">
        <v>879</v>
      </c>
    </row>
    <row r="389" spans="1:1" x14ac:dyDescent="0.2">
      <c r="A389" t="s">
        <v>880</v>
      </c>
    </row>
    <row r="390" spans="1:1" x14ac:dyDescent="0.2">
      <c r="A390" t="s">
        <v>881</v>
      </c>
    </row>
    <row r="391" spans="1:1" x14ac:dyDescent="0.2">
      <c r="A391" t="s">
        <v>882</v>
      </c>
    </row>
    <row r="392" spans="1:1" x14ac:dyDescent="0.2">
      <c r="A392" t="s">
        <v>515</v>
      </c>
    </row>
    <row r="393" spans="1:1" x14ac:dyDescent="0.2">
      <c r="A393" t="s">
        <v>886</v>
      </c>
    </row>
    <row r="394" spans="1:1" x14ac:dyDescent="0.2">
      <c r="A394" t="s">
        <v>516</v>
      </c>
    </row>
    <row r="395" spans="1:1" x14ac:dyDescent="0.2">
      <c r="A395" t="s">
        <v>891</v>
      </c>
    </row>
    <row r="396" spans="1:1" x14ac:dyDescent="0.2">
      <c r="A396" t="s">
        <v>893</v>
      </c>
    </row>
    <row r="397" spans="1:1" x14ac:dyDescent="0.2">
      <c r="A397" t="s">
        <v>894</v>
      </c>
    </row>
    <row r="398" spans="1:1" x14ac:dyDescent="0.2">
      <c r="A398" t="s">
        <v>900</v>
      </c>
    </row>
    <row r="399" spans="1:1" x14ac:dyDescent="0.2">
      <c r="A399" t="s">
        <v>901</v>
      </c>
    </row>
    <row r="400" spans="1:1" x14ac:dyDescent="0.2">
      <c r="A400" t="s">
        <v>904</v>
      </c>
    </row>
    <row r="401" spans="1:1" x14ac:dyDescent="0.2">
      <c r="A401" t="s">
        <v>905</v>
      </c>
    </row>
    <row r="402" spans="1:1" x14ac:dyDescent="0.2">
      <c r="A402" t="s">
        <v>907</v>
      </c>
    </row>
    <row r="403" spans="1:1" x14ac:dyDescent="0.2">
      <c r="A403" t="s">
        <v>517</v>
      </c>
    </row>
    <row r="404" spans="1:1" x14ac:dyDescent="0.2">
      <c r="A404" t="s">
        <v>908</v>
      </c>
    </row>
    <row r="405" spans="1:1" x14ac:dyDescent="0.2">
      <c r="A405" t="s">
        <v>526</v>
      </c>
    </row>
    <row r="406" spans="1:1" x14ac:dyDescent="0.2">
      <c r="A406" t="s">
        <v>910</v>
      </c>
    </row>
    <row r="407" spans="1:1" x14ac:dyDescent="0.2">
      <c r="A407" t="s">
        <v>518</v>
      </c>
    </row>
    <row r="408" spans="1:1" x14ac:dyDescent="0.2">
      <c r="A408" t="s">
        <v>912</v>
      </c>
    </row>
    <row r="409" spans="1:1" x14ac:dyDescent="0.2">
      <c r="A409" t="s">
        <v>913</v>
      </c>
    </row>
    <row r="410" spans="1:1" x14ac:dyDescent="0.2">
      <c r="A410" t="s">
        <v>914</v>
      </c>
    </row>
    <row r="411" spans="1:1" x14ac:dyDescent="0.2">
      <c r="A411" t="s">
        <v>915</v>
      </c>
    </row>
    <row r="412" spans="1:1" x14ac:dyDescent="0.2">
      <c r="A412" t="s">
        <v>917</v>
      </c>
    </row>
    <row r="413" spans="1:1" x14ac:dyDescent="0.2">
      <c r="A413" t="s">
        <v>519</v>
      </c>
    </row>
    <row r="414" spans="1:1" x14ac:dyDescent="0.2">
      <c r="A414" t="s">
        <v>922</v>
      </c>
    </row>
    <row r="415" spans="1:1" x14ac:dyDescent="0.2">
      <c r="A415" t="s">
        <v>924</v>
      </c>
    </row>
    <row r="416" spans="1:1" x14ac:dyDescent="0.2">
      <c r="A416" t="s">
        <v>925</v>
      </c>
    </row>
    <row r="417" spans="1:1" x14ac:dyDescent="0.2">
      <c r="A417" t="s">
        <v>928</v>
      </c>
    </row>
    <row r="418" spans="1:1" x14ac:dyDescent="0.2">
      <c r="A418" t="s">
        <v>929</v>
      </c>
    </row>
    <row r="419" spans="1:1" x14ac:dyDescent="0.2">
      <c r="A419" t="s">
        <v>930</v>
      </c>
    </row>
    <row r="420" spans="1:1" x14ac:dyDescent="0.2">
      <c r="A420" t="s">
        <v>932</v>
      </c>
    </row>
    <row r="421" spans="1:1" x14ac:dyDescent="0.2">
      <c r="A421" t="s">
        <v>933</v>
      </c>
    </row>
    <row r="422" spans="1:1" x14ac:dyDescent="0.2">
      <c r="A422" t="s">
        <v>934</v>
      </c>
    </row>
    <row r="423" spans="1:1" x14ac:dyDescent="0.2">
      <c r="A423" t="s">
        <v>935</v>
      </c>
    </row>
    <row r="424" spans="1:1" x14ac:dyDescent="0.2">
      <c r="A424" t="s">
        <v>940</v>
      </c>
    </row>
    <row r="425" spans="1:1" x14ac:dyDescent="0.2">
      <c r="A425" t="s">
        <v>941</v>
      </c>
    </row>
    <row r="426" spans="1:1" x14ac:dyDescent="0.2">
      <c r="A426" t="s">
        <v>942</v>
      </c>
    </row>
    <row r="427" spans="1:1" x14ac:dyDescent="0.2">
      <c r="A427" t="s">
        <v>943</v>
      </c>
    </row>
    <row r="428" spans="1:1" x14ac:dyDescent="0.2">
      <c r="A428" t="s">
        <v>1345</v>
      </c>
    </row>
    <row r="429" spans="1:1" x14ac:dyDescent="0.2">
      <c r="A429" t="s">
        <v>944</v>
      </c>
    </row>
    <row r="430" spans="1:1" x14ac:dyDescent="0.2">
      <c r="A430" t="s">
        <v>945</v>
      </c>
    </row>
    <row r="431" spans="1:1" x14ac:dyDescent="0.2">
      <c r="A431" t="s">
        <v>946</v>
      </c>
    </row>
    <row r="432" spans="1:1" x14ac:dyDescent="0.2">
      <c r="A432" t="s">
        <v>520</v>
      </c>
    </row>
    <row r="433" spans="1:1" x14ac:dyDescent="0.2">
      <c r="A433" t="s">
        <v>947</v>
      </c>
    </row>
    <row r="434" spans="1:1" x14ac:dyDescent="0.2">
      <c r="A434" t="s">
        <v>949</v>
      </c>
    </row>
    <row r="435" spans="1:1" x14ac:dyDescent="0.2">
      <c r="A435" t="s">
        <v>950</v>
      </c>
    </row>
    <row r="436" spans="1:1" x14ac:dyDescent="0.2">
      <c r="A436" t="s">
        <v>956</v>
      </c>
    </row>
    <row r="437" spans="1:1" x14ac:dyDescent="0.2">
      <c r="A437" t="s">
        <v>521</v>
      </c>
    </row>
    <row r="438" spans="1:1" x14ac:dyDescent="0.2">
      <c r="A438" t="s">
        <v>957</v>
      </c>
    </row>
    <row r="439" spans="1:1" x14ac:dyDescent="0.2">
      <c r="A439" t="s">
        <v>958</v>
      </c>
    </row>
    <row r="440" spans="1:1" x14ac:dyDescent="0.2">
      <c r="A440" t="s">
        <v>522</v>
      </c>
    </row>
    <row r="441" spans="1:1" x14ac:dyDescent="0.2">
      <c r="A441" t="s">
        <v>501</v>
      </c>
    </row>
    <row r="442" spans="1:1" x14ac:dyDescent="0.2">
      <c r="A442" t="s">
        <v>830</v>
      </c>
    </row>
    <row r="443" spans="1:1" x14ac:dyDescent="0.2">
      <c r="A443" t="s">
        <v>832</v>
      </c>
    </row>
    <row r="444" spans="1:1" x14ac:dyDescent="0.2">
      <c r="A444" t="s">
        <v>502</v>
      </c>
    </row>
    <row r="445" spans="1:1" x14ac:dyDescent="0.2">
      <c r="A445" t="s">
        <v>503</v>
      </c>
    </row>
    <row r="446" spans="1:1" x14ac:dyDescent="0.2">
      <c r="A446" t="s">
        <v>862</v>
      </c>
    </row>
    <row r="447" spans="1:1" x14ac:dyDescent="0.2">
      <c r="A447" t="s">
        <v>505</v>
      </c>
    </row>
    <row r="448" spans="1:1" x14ac:dyDescent="0.2">
      <c r="A448" t="s">
        <v>877</v>
      </c>
    </row>
    <row r="449" spans="1:1" x14ac:dyDescent="0.2">
      <c r="A449" t="s">
        <v>878</v>
      </c>
    </row>
    <row r="450" spans="1:1" x14ac:dyDescent="0.2">
      <c r="A450" t="s">
        <v>506</v>
      </c>
    </row>
    <row r="451" spans="1:1" x14ac:dyDescent="0.2">
      <c r="A451" t="s">
        <v>507</v>
      </c>
    </row>
    <row r="452" spans="1:1" x14ac:dyDescent="0.2">
      <c r="A452" t="s">
        <v>508</v>
      </c>
    </row>
    <row r="453" spans="1:1" x14ac:dyDescent="0.2">
      <c r="A453" t="s">
        <v>378</v>
      </c>
    </row>
    <row r="454" spans="1:1" x14ac:dyDescent="0.2">
      <c r="A454" t="s">
        <v>509</v>
      </c>
    </row>
    <row r="455" spans="1:1" x14ac:dyDescent="0.2">
      <c r="A455" t="s">
        <v>916</v>
      </c>
    </row>
    <row r="456" spans="1:1" x14ac:dyDescent="0.2">
      <c r="A456" t="s">
        <v>926</v>
      </c>
    </row>
    <row r="457" spans="1:1" x14ac:dyDescent="0.2">
      <c r="A457" t="s">
        <v>927</v>
      </c>
    </row>
    <row r="458" spans="1:1" x14ac:dyDescent="0.2">
      <c r="A458" t="s">
        <v>937</v>
      </c>
    </row>
    <row r="459" spans="1:1" x14ac:dyDescent="0.2">
      <c r="A459" t="s">
        <v>951</v>
      </c>
    </row>
    <row r="460" spans="1:1" x14ac:dyDescent="0.2">
      <c r="A460" t="s">
        <v>953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E236-C118-4685-856C-74ED67692AF7}">
  <dimension ref="A1:F73"/>
  <sheetViews>
    <sheetView workbookViewId="0">
      <selection activeCell="F2" sqref="F2"/>
    </sheetView>
  </sheetViews>
  <sheetFormatPr defaultRowHeight="14.25" x14ac:dyDescent="0.2"/>
  <cols>
    <col min="1" max="1" width="12.75" bestFit="1" customWidth="1"/>
    <col min="2" max="2" width="38.625" bestFit="1" customWidth="1"/>
    <col min="3" max="3" width="10.625" bestFit="1" customWidth="1"/>
  </cols>
  <sheetData>
    <row r="1" spans="1:6" x14ac:dyDescent="0.2">
      <c r="A1" t="s">
        <v>156</v>
      </c>
      <c r="B1" t="s">
        <v>124</v>
      </c>
    </row>
    <row r="2" spans="1:6" x14ac:dyDescent="0.2">
      <c r="A2" t="s">
        <v>259</v>
      </c>
      <c r="E2" t="str" cm="1">
        <f t="array" ref="E2:E7">_xlfn.UNIQUE(_xlfn._xlws.FILTER(B:B,A:A='Cover letter'!E3))</f>
        <v>Electronics and Photonics</v>
      </c>
      <c r="F2" t="s">
        <v>1125</v>
      </c>
    </row>
    <row r="3" spans="1:6" x14ac:dyDescent="0.2">
      <c r="A3" t="s">
        <v>284</v>
      </c>
      <c r="B3" t="s">
        <v>289</v>
      </c>
      <c r="E3" t="str">
        <v>Software Engineering and Computing Systems</v>
      </c>
    </row>
    <row r="4" spans="1:6" x14ac:dyDescent="0.2">
      <c r="A4" t="s">
        <v>284</v>
      </c>
      <c r="B4" t="s">
        <v>290</v>
      </c>
      <c r="E4" t="str">
        <v>Communication, Control and Automation</v>
      </c>
    </row>
    <row r="5" spans="1:6" x14ac:dyDescent="0.2">
      <c r="A5" t="s">
        <v>284</v>
      </c>
      <c r="B5" t="s">
        <v>288</v>
      </c>
      <c r="E5" t="str">
        <v>Signal Processing and Machine Learning</v>
      </c>
    </row>
    <row r="6" spans="1:6" x14ac:dyDescent="0.2">
      <c r="A6" t="s">
        <v>284</v>
      </c>
      <c r="B6" t="s">
        <v>287</v>
      </c>
      <c r="E6" t="str">
        <v>Electrical Energy Technology</v>
      </c>
    </row>
    <row r="7" spans="1:6" x14ac:dyDescent="0.2">
      <c r="A7" t="s">
        <v>284</v>
      </c>
      <c r="B7" t="s">
        <v>286</v>
      </c>
      <c r="E7" t="str">
        <v>Biomedical Engineering</v>
      </c>
    </row>
    <row r="8" spans="1:6" x14ac:dyDescent="0.2">
      <c r="A8" t="s">
        <v>284</v>
      </c>
      <c r="B8" t="s">
        <v>285</v>
      </c>
    </row>
    <row r="9" spans="1:6" x14ac:dyDescent="0.2">
      <c r="A9" t="s">
        <v>21</v>
      </c>
      <c r="B9" t="s">
        <v>1019</v>
      </c>
    </row>
    <row r="10" spans="1:6" x14ac:dyDescent="0.2">
      <c r="A10" t="s">
        <v>21</v>
      </c>
      <c r="B10" t="s">
        <v>1020</v>
      </c>
    </row>
    <row r="11" spans="1:6" x14ac:dyDescent="0.2">
      <c r="A11" t="s">
        <v>21</v>
      </c>
      <c r="B11" t="s">
        <v>1021</v>
      </c>
    </row>
    <row r="12" spans="1:6" x14ac:dyDescent="0.2">
      <c r="A12" t="s">
        <v>21</v>
      </c>
      <c r="B12" t="s">
        <v>1022</v>
      </c>
    </row>
    <row r="13" spans="1:6" x14ac:dyDescent="0.2">
      <c r="A13" t="s">
        <v>281</v>
      </c>
    </row>
    <row r="14" spans="1:6" x14ac:dyDescent="0.2">
      <c r="A14" t="s">
        <v>253</v>
      </c>
    </row>
    <row r="15" spans="1:6" x14ac:dyDescent="0.2">
      <c r="A15" t="s">
        <v>296</v>
      </c>
    </row>
    <row r="16" spans="1:6" x14ac:dyDescent="0.2">
      <c r="A16" t="s">
        <v>258</v>
      </c>
    </row>
    <row r="17" spans="1:2" x14ac:dyDescent="0.2">
      <c r="A17" t="s">
        <v>283</v>
      </c>
    </row>
    <row r="18" spans="1:2" x14ac:dyDescent="0.2">
      <c r="A18" t="s">
        <v>282</v>
      </c>
    </row>
    <row r="19" spans="1:2" x14ac:dyDescent="0.2">
      <c r="A19" t="s">
        <v>3</v>
      </c>
      <c r="B19" t="s">
        <v>1023</v>
      </c>
    </row>
    <row r="20" spans="1:2" x14ac:dyDescent="0.2">
      <c r="A20" t="s">
        <v>3</v>
      </c>
      <c r="B20" t="s">
        <v>235</v>
      </c>
    </row>
    <row r="21" spans="1:2" x14ac:dyDescent="0.2">
      <c r="A21" t="s">
        <v>3</v>
      </c>
      <c r="B21" t="s">
        <v>236</v>
      </c>
    </row>
    <row r="22" spans="1:2" x14ac:dyDescent="0.2">
      <c r="A22" t="s">
        <v>3</v>
      </c>
      <c r="B22" t="s">
        <v>237</v>
      </c>
    </row>
    <row r="23" spans="1:2" x14ac:dyDescent="0.2">
      <c r="A23" t="s">
        <v>3</v>
      </c>
      <c r="B23" t="s">
        <v>238</v>
      </c>
    </row>
    <row r="24" spans="1:2" x14ac:dyDescent="0.2">
      <c r="A24" t="s">
        <v>3</v>
      </c>
      <c r="B24" t="s">
        <v>239</v>
      </c>
    </row>
    <row r="25" spans="1:2" x14ac:dyDescent="0.2">
      <c r="A25" t="s">
        <v>3</v>
      </c>
      <c r="B25" t="s">
        <v>240</v>
      </c>
    </row>
    <row r="26" spans="1:2" x14ac:dyDescent="0.2">
      <c r="A26" t="s">
        <v>3</v>
      </c>
      <c r="B26" t="s">
        <v>1024</v>
      </c>
    </row>
    <row r="27" spans="1:2" x14ac:dyDescent="0.2">
      <c r="A27" t="s">
        <v>3</v>
      </c>
      <c r="B27" t="s">
        <v>242</v>
      </c>
    </row>
    <row r="28" spans="1:2" x14ac:dyDescent="0.2">
      <c r="A28" t="s">
        <v>3</v>
      </c>
      <c r="B28" t="s">
        <v>241</v>
      </c>
    </row>
    <row r="29" spans="1:2" x14ac:dyDescent="0.2">
      <c r="A29" t="s">
        <v>116</v>
      </c>
      <c r="B29" t="s">
        <v>277</v>
      </c>
    </row>
    <row r="30" spans="1:2" x14ac:dyDescent="0.2">
      <c r="A30" t="s">
        <v>116</v>
      </c>
      <c r="B30" t="s">
        <v>1348</v>
      </c>
    </row>
    <row r="31" spans="1:2" x14ac:dyDescent="0.2">
      <c r="A31" t="s">
        <v>116</v>
      </c>
      <c r="B31" t="s">
        <v>278</v>
      </c>
    </row>
    <row r="32" spans="1:2" x14ac:dyDescent="0.2">
      <c r="A32" t="s">
        <v>116</v>
      </c>
      <c r="B32" t="s">
        <v>279</v>
      </c>
    </row>
    <row r="33" spans="1:2" x14ac:dyDescent="0.2">
      <c r="A33" t="s">
        <v>116</v>
      </c>
      <c r="B33" t="s">
        <v>280</v>
      </c>
    </row>
    <row r="34" spans="1:2" x14ac:dyDescent="0.2">
      <c r="A34" t="s">
        <v>100</v>
      </c>
      <c r="B34" t="s">
        <v>248</v>
      </c>
    </row>
    <row r="35" spans="1:2" x14ac:dyDescent="0.2">
      <c r="A35" t="s">
        <v>100</v>
      </c>
      <c r="B35" t="s">
        <v>247</v>
      </c>
    </row>
    <row r="36" spans="1:2" x14ac:dyDescent="0.2">
      <c r="A36" t="s">
        <v>100</v>
      </c>
      <c r="B36" t="s">
        <v>245</v>
      </c>
    </row>
    <row r="37" spans="1:2" x14ac:dyDescent="0.2">
      <c r="A37" t="s">
        <v>100</v>
      </c>
      <c r="B37" t="s">
        <v>243</v>
      </c>
    </row>
    <row r="38" spans="1:2" x14ac:dyDescent="0.2">
      <c r="A38" t="s">
        <v>100</v>
      </c>
      <c r="B38" t="s">
        <v>246</v>
      </c>
    </row>
    <row r="39" spans="1:2" x14ac:dyDescent="0.2">
      <c r="A39" t="s">
        <v>100</v>
      </c>
      <c r="B39" t="s">
        <v>244</v>
      </c>
    </row>
    <row r="40" spans="1:2" x14ac:dyDescent="0.2">
      <c r="A40" t="s">
        <v>4</v>
      </c>
    </row>
    <row r="41" spans="1:2" x14ac:dyDescent="0.2">
      <c r="A41" t="s">
        <v>115</v>
      </c>
      <c r="B41" t="s">
        <v>276</v>
      </c>
    </row>
    <row r="42" spans="1:2" x14ac:dyDescent="0.2">
      <c r="A42" t="s">
        <v>115</v>
      </c>
      <c r="B42" t="s">
        <v>274</v>
      </c>
    </row>
    <row r="43" spans="1:2" x14ac:dyDescent="0.2">
      <c r="A43" t="s">
        <v>115</v>
      </c>
      <c r="B43" t="s">
        <v>268</v>
      </c>
    </row>
    <row r="44" spans="1:2" x14ac:dyDescent="0.2">
      <c r="A44" t="s">
        <v>115</v>
      </c>
      <c r="B44" t="s">
        <v>269</v>
      </c>
    </row>
    <row r="45" spans="1:2" x14ac:dyDescent="0.2">
      <c r="A45" t="s">
        <v>115</v>
      </c>
      <c r="B45" t="s">
        <v>270</v>
      </c>
    </row>
    <row r="46" spans="1:2" x14ac:dyDescent="0.2">
      <c r="A46" t="s">
        <v>115</v>
      </c>
      <c r="B46" t="s">
        <v>275</v>
      </c>
    </row>
    <row r="47" spans="1:2" x14ac:dyDescent="0.2">
      <c r="A47" t="s">
        <v>115</v>
      </c>
      <c r="B47" t="s">
        <v>273</v>
      </c>
    </row>
    <row r="48" spans="1:2" x14ac:dyDescent="0.2">
      <c r="A48" t="s">
        <v>115</v>
      </c>
      <c r="B48" t="s">
        <v>266</v>
      </c>
    </row>
    <row r="49" spans="1:2" x14ac:dyDescent="0.2">
      <c r="A49" t="s">
        <v>115</v>
      </c>
      <c r="B49" t="s">
        <v>271</v>
      </c>
    </row>
    <row r="50" spans="1:2" x14ac:dyDescent="0.2">
      <c r="A50" t="s">
        <v>115</v>
      </c>
      <c r="B50" t="s">
        <v>267</v>
      </c>
    </row>
    <row r="51" spans="1:2" x14ac:dyDescent="0.2">
      <c r="A51" t="s">
        <v>115</v>
      </c>
      <c r="B51" t="s">
        <v>272</v>
      </c>
    </row>
    <row r="52" spans="1:2" x14ac:dyDescent="0.2">
      <c r="A52" t="s">
        <v>117</v>
      </c>
    </row>
    <row r="53" spans="1:2" x14ac:dyDescent="0.2">
      <c r="A53" t="s">
        <v>5</v>
      </c>
    </row>
    <row r="54" spans="1:2" x14ac:dyDescent="0.2">
      <c r="A54" t="s">
        <v>6</v>
      </c>
    </row>
    <row r="55" spans="1:2" x14ac:dyDescent="0.2">
      <c r="A55" t="s">
        <v>92</v>
      </c>
      <c r="B55" t="s">
        <v>251</v>
      </c>
    </row>
    <row r="56" spans="1:2" x14ac:dyDescent="0.2">
      <c r="A56" t="s">
        <v>92</v>
      </c>
      <c r="B56" t="s">
        <v>250</v>
      </c>
    </row>
    <row r="57" spans="1:2" x14ac:dyDescent="0.2">
      <c r="A57" t="s">
        <v>92</v>
      </c>
      <c r="B57" t="s">
        <v>249</v>
      </c>
    </row>
    <row r="58" spans="1:2" x14ac:dyDescent="0.2">
      <c r="A58" t="s">
        <v>92</v>
      </c>
      <c r="B58" t="s">
        <v>252</v>
      </c>
    </row>
    <row r="59" spans="1:2" x14ac:dyDescent="0.2">
      <c r="A59" t="s">
        <v>94</v>
      </c>
      <c r="B59" t="s">
        <v>263</v>
      </c>
    </row>
    <row r="60" spans="1:2" x14ac:dyDescent="0.2">
      <c r="A60" t="s">
        <v>94</v>
      </c>
      <c r="B60" t="s">
        <v>265</v>
      </c>
    </row>
    <row r="61" spans="1:2" x14ac:dyDescent="0.2">
      <c r="A61" t="s">
        <v>94</v>
      </c>
      <c r="B61" t="s">
        <v>261</v>
      </c>
    </row>
    <row r="62" spans="1:2" x14ac:dyDescent="0.2">
      <c r="A62" t="s">
        <v>94</v>
      </c>
      <c r="B62" t="s">
        <v>264</v>
      </c>
    </row>
    <row r="63" spans="1:2" x14ac:dyDescent="0.2">
      <c r="A63" t="s">
        <v>94</v>
      </c>
      <c r="B63" t="s">
        <v>262</v>
      </c>
    </row>
    <row r="64" spans="1:2" x14ac:dyDescent="0.2">
      <c r="A64" t="s">
        <v>94</v>
      </c>
      <c r="B64" t="s">
        <v>260</v>
      </c>
    </row>
    <row r="65" spans="1:2" x14ac:dyDescent="0.2">
      <c r="A65" t="s">
        <v>93</v>
      </c>
      <c r="B65" t="s">
        <v>254</v>
      </c>
    </row>
    <row r="66" spans="1:2" x14ac:dyDescent="0.2">
      <c r="A66" t="s">
        <v>93</v>
      </c>
      <c r="B66" t="s">
        <v>255</v>
      </c>
    </row>
    <row r="67" spans="1:2" x14ac:dyDescent="0.2">
      <c r="A67" t="s">
        <v>93</v>
      </c>
      <c r="B67" t="s">
        <v>256</v>
      </c>
    </row>
    <row r="68" spans="1:2" x14ac:dyDescent="0.2">
      <c r="A68" t="s">
        <v>93</v>
      </c>
      <c r="B68" t="s">
        <v>257</v>
      </c>
    </row>
    <row r="69" spans="1:2" x14ac:dyDescent="0.2">
      <c r="A69" t="s">
        <v>95</v>
      </c>
      <c r="B69" t="s">
        <v>291</v>
      </c>
    </row>
    <row r="70" spans="1:2" x14ac:dyDescent="0.2">
      <c r="A70" t="s">
        <v>95</v>
      </c>
      <c r="B70" t="s">
        <v>292</v>
      </c>
    </row>
    <row r="71" spans="1:2" x14ac:dyDescent="0.2">
      <c r="A71" t="s">
        <v>95</v>
      </c>
      <c r="B71" t="s">
        <v>294</v>
      </c>
    </row>
    <row r="72" spans="1:2" x14ac:dyDescent="0.2">
      <c r="A72" t="s">
        <v>95</v>
      </c>
      <c r="B72" t="s">
        <v>295</v>
      </c>
    </row>
    <row r="73" spans="1:2" x14ac:dyDescent="0.2">
      <c r="A73" t="s">
        <v>95</v>
      </c>
      <c r="B73" t="s">
        <v>293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F988C-FF03-4026-84F5-485A4393DAD8}">
  <dimension ref="A1:B79"/>
  <sheetViews>
    <sheetView topLeftCell="A46" workbookViewId="0">
      <selection activeCell="I71" sqref="I71"/>
    </sheetView>
  </sheetViews>
  <sheetFormatPr defaultRowHeight="14.25" x14ac:dyDescent="0.2"/>
  <cols>
    <col min="1" max="1" width="8.625" bestFit="1" customWidth="1"/>
    <col min="2" max="2" width="25.625" bestFit="1" customWidth="1"/>
  </cols>
  <sheetData>
    <row r="1" spans="1:2" x14ac:dyDescent="0.2">
      <c r="A1" t="s">
        <v>543</v>
      </c>
      <c r="B1" t="s">
        <v>143</v>
      </c>
    </row>
    <row r="2" spans="1:2" x14ac:dyDescent="0.2">
      <c r="A2" t="s">
        <v>1025</v>
      </c>
      <c r="B2" t="s">
        <v>1026</v>
      </c>
    </row>
    <row r="3" spans="1:2" x14ac:dyDescent="0.2">
      <c r="A3" t="s">
        <v>1027</v>
      </c>
      <c r="B3" t="s">
        <v>1028</v>
      </c>
    </row>
    <row r="4" spans="1:2" x14ac:dyDescent="0.2">
      <c r="A4" t="s">
        <v>1029</v>
      </c>
      <c r="B4" t="s">
        <v>550</v>
      </c>
    </row>
    <row r="5" spans="1:2" x14ac:dyDescent="0.2">
      <c r="A5" t="s">
        <v>1030</v>
      </c>
      <c r="B5" t="s">
        <v>1031</v>
      </c>
    </row>
    <row r="6" spans="1:2" x14ac:dyDescent="0.2">
      <c r="A6" t="s">
        <v>1032</v>
      </c>
      <c r="B6" t="s">
        <v>1033</v>
      </c>
    </row>
    <row r="7" spans="1:2" x14ac:dyDescent="0.2">
      <c r="A7" t="s">
        <v>1034</v>
      </c>
      <c r="B7" t="s">
        <v>549</v>
      </c>
    </row>
    <row r="8" spans="1:2" x14ac:dyDescent="0.2">
      <c r="A8" t="s">
        <v>1035</v>
      </c>
      <c r="B8" t="s">
        <v>1036</v>
      </c>
    </row>
    <row r="9" spans="1:2" x14ac:dyDescent="0.2">
      <c r="A9" t="s">
        <v>1037</v>
      </c>
      <c r="B9" t="s">
        <v>551</v>
      </c>
    </row>
    <row r="10" spans="1:2" x14ac:dyDescent="0.2">
      <c r="A10" t="s">
        <v>1038</v>
      </c>
      <c r="B10" t="s">
        <v>552</v>
      </c>
    </row>
    <row r="11" spans="1:2" x14ac:dyDescent="0.2">
      <c r="A11" t="s">
        <v>1039</v>
      </c>
      <c r="B11" t="s">
        <v>553</v>
      </c>
    </row>
    <row r="12" spans="1:2" x14ac:dyDescent="0.2">
      <c r="A12" t="s">
        <v>1040</v>
      </c>
      <c r="B12" t="s">
        <v>554</v>
      </c>
    </row>
    <row r="13" spans="1:2" x14ac:dyDescent="0.2">
      <c r="A13" t="s">
        <v>1041</v>
      </c>
      <c r="B13" t="s">
        <v>555</v>
      </c>
    </row>
    <row r="14" spans="1:2" x14ac:dyDescent="0.2">
      <c r="A14" t="s">
        <v>1349</v>
      </c>
      <c r="B14" t="s">
        <v>1350</v>
      </c>
    </row>
    <row r="15" spans="1:2" x14ac:dyDescent="0.2">
      <c r="A15" t="s">
        <v>1042</v>
      </c>
      <c r="B15" t="s">
        <v>556</v>
      </c>
    </row>
    <row r="16" spans="1:2" x14ac:dyDescent="0.2">
      <c r="A16" t="s">
        <v>1043</v>
      </c>
      <c r="B16" t="s">
        <v>557</v>
      </c>
    </row>
    <row r="17" spans="1:2" x14ac:dyDescent="0.2">
      <c r="A17" t="s">
        <v>1044</v>
      </c>
      <c r="B17" t="s">
        <v>558</v>
      </c>
    </row>
    <row r="18" spans="1:2" x14ac:dyDescent="0.2">
      <c r="A18" t="s">
        <v>1045</v>
      </c>
      <c r="B18" t="s">
        <v>1046</v>
      </c>
    </row>
    <row r="19" spans="1:2" x14ac:dyDescent="0.2">
      <c r="A19" t="s">
        <v>1047</v>
      </c>
      <c r="B19" t="s">
        <v>559</v>
      </c>
    </row>
    <row r="20" spans="1:2" x14ac:dyDescent="0.2">
      <c r="A20" t="s">
        <v>1048</v>
      </c>
      <c r="B20" t="s">
        <v>1049</v>
      </c>
    </row>
    <row r="21" spans="1:2" x14ac:dyDescent="0.2">
      <c r="A21" t="s">
        <v>1050</v>
      </c>
      <c r="B21" t="s">
        <v>560</v>
      </c>
    </row>
    <row r="22" spans="1:2" x14ac:dyDescent="0.2">
      <c r="A22" t="s">
        <v>1051</v>
      </c>
      <c r="B22" t="s">
        <v>563</v>
      </c>
    </row>
    <row r="23" spans="1:2" x14ac:dyDescent="0.2">
      <c r="A23" t="s">
        <v>1052</v>
      </c>
      <c r="B23" t="s">
        <v>561</v>
      </c>
    </row>
    <row r="24" spans="1:2" x14ac:dyDescent="0.2">
      <c r="A24" t="s">
        <v>1053</v>
      </c>
      <c r="B24" t="s">
        <v>562</v>
      </c>
    </row>
    <row r="25" spans="1:2" x14ac:dyDescent="0.2">
      <c r="A25" t="s">
        <v>1054</v>
      </c>
      <c r="B25" t="s">
        <v>564</v>
      </c>
    </row>
    <row r="26" spans="1:2" x14ac:dyDescent="0.2">
      <c r="A26" t="s">
        <v>1055</v>
      </c>
      <c r="B26" t="s">
        <v>1056</v>
      </c>
    </row>
    <row r="27" spans="1:2" x14ac:dyDescent="0.2">
      <c r="A27" t="s">
        <v>1057</v>
      </c>
      <c r="B27" t="s">
        <v>1058</v>
      </c>
    </row>
    <row r="28" spans="1:2" x14ac:dyDescent="0.2">
      <c r="A28" t="s">
        <v>1059</v>
      </c>
      <c r="B28" t="s">
        <v>565</v>
      </c>
    </row>
    <row r="29" spans="1:2" x14ac:dyDescent="0.2">
      <c r="A29" t="s">
        <v>1060</v>
      </c>
      <c r="B29" t="s">
        <v>566</v>
      </c>
    </row>
    <row r="30" spans="1:2" x14ac:dyDescent="0.2">
      <c r="A30" t="s">
        <v>1061</v>
      </c>
      <c r="B30" t="s">
        <v>567</v>
      </c>
    </row>
    <row r="31" spans="1:2" x14ac:dyDescent="0.2">
      <c r="A31" t="s">
        <v>1062</v>
      </c>
      <c r="B31" t="s">
        <v>1063</v>
      </c>
    </row>
    <row r="32" spans="1:2" x14ac:dyDescent="0.2">
      <c r="A32" t="s">
        <v>1064</v>
      </c>
      <c r="B32" t="s">
        <v>568</v>
      </c>
    </row>
    <row r="33" spans="1:2" x14ac:dyDescent="0.2">
      <c r="A33" t="s">
        <v>1065</v>
      </c>
      <c r="B33" t="s">
        <v>569</v>
      </c>
    </row>
    <row r="34" spans="1:2" x14ac:dyDescent="0.2">
      <c r="A34" t="s">
        <v>1066</v>
      </c>
      <c r="B34" t="s">
        <v>1067</v>
      </c>
    </row>
    <row r="35" spans="1:2" x14ac:dyDescent="0.2">
      <c r="A35" t="s">
        <v>1068</v>
      </c>
      <c r="B35" t="s">
        <v>570</v>
      </c>
    </row>
    <row r="36" spans="1:2" x14ac:dyDescent="0.2">
      <c r="A36" t="s">
        <v>1069</v>
      </c>
      <c r="B36" t="s">
        <v>1070</v>
      </c>
    </row>
    <row r="37" spans="1:2" x14ac:dyDescent="0.2">
      <c r="A37" t="s">
        <v>1071</v>
      </c>
      <c r="B37" t="s">
        <v>571</v>
      </c>
    </row>
    <row r="38" spans="1:2" x14ac:dyDescent="0.2">
      <c r="A38" t="s">
        <v>1072</v>
      </c>
      <c r="B38" t="s">
        <v>573</v>
      </c>
    </row>
    <row r="39" spans="1:2" x14ac:dyDescent="0.2">
      <c r="A39" t="s">
        <v>1073</v>
      </c>
      <c r="B39" t="s">
        <v>1074</v>
      </c>
    </row>
    <row r="40" spans="1:2" x14ac:dyDescent="0.2">
      <c r="A40" t="s">
        <v>1075</v>
      </c>
      <c r="B40" t="s">
        <v>574</v>
      </c>
    </row>
    <row r="41" spans="1:2" x14ac:dyDescent="0.2">
      <c r="A41" t="s">
        <v>1076</v>
      </c>
      <c r="B41" t="s">
        <v>572</v>
      </c>
    </row>
    <row r="42" spans="1:2" x14ac:dyDescent="0.2">
      <c r="A42" t="s">
        <v>1077</v>
      </c>
      <c r="B42" t="s">
        <v>1078</v>
      </c>
    </row>
    <row r="43" spans="1:2" x14ac:dyDescent="0.2">
      <c r="A43" t="s">
        <v>1079</v>
      </c>
      <c r="B43" t="s">
        <v>1351</v>
      </c>
    </row>
    <row r="44" spans="1:2" x14ac:dyDescent="0.2">
      <c r="A44" t="s">
        <v>1080</v>
      </c>
      <c r="B44" t="s">
        <v>576</v>
      </c>
    </row>
    <row r="45" spans="1:2" x14ac:dyDescent="0.2">
      <c r="A45" t="s">
        <v>1081</v>
      </c>
      <c r="B45" t="s">
        <v>575</v>
      </c>
    </row>
    <row r="46" spans="1:2" x14ac:dyDescent="0.2">
      <c r="A46" t="s">
        <v>1082</v>
      </c>
      <c r="B46" t="s">
        <v>1083</v>
      </c>
    </row>
    <row r="47" spans="1:2" x14ac:dyDescent="0.2">
      <c r="A47" t="s">
        <v>1084</v>
      </c>
      <c r="B47" t="s">
        <v>1085</v>
      </c>
    </row>
    <row r="48" spans="1:2" x14ac:dyDescent="0.2">
      <c r="A48" t="s">
        <v>1086</v>
      </c>
      <c r="B48" t="s">
        <v>577</v>
      </c>
    </row>
    <row r="49" spans="1:2" x14ac:dyDescent="0.2">
      <c r="A49" t="s">
        <v>1087</v>
      </c>
      <c r="B49" t="s">
        <v>578</v>
      </c>
    </row>
    <row r="50" spans="1:2" x14ac:dyDescent="0.2">
      <c r="A50" t="s">
        <v>1088</v>
      </c>
      <c r="B50" t="s">
        <v>1089</v>
      </c>
    </row>
    <row r="51" spans="1:2" x14ac:dyDescent="0.2">
      <c r="A51" t="s">
        <v>1090</v>
      </c>
      <c r="B51" t="s">
        <v>579</v>
      </c>
    </row>
    <row r="52" spans="1:2" x14ac:dyDescent="0.2">
      <c r="A52" t="s">
        <v>1091</v>
      </c>
      <c r="B52" t="s">
        <v>580</v>
      </c>
    </row>
    <row r="53" spans="1:2" x14ac:dyDescent="0.2">
      <c r="A53" t="s">
        <v>1092</v>
      </c>
      <c r="B53" t="s">
        <v>581</v>
      </c>
    </row>
    <row r="54" spans="1:2" x14ac:dyDescent="0.2">
      <c r="A54" t="s">
        <v>1093</v>
      </c>
      <c r="B54" t="s">
        <v>1094</v>
      </c>
    </row>
    <row r="55" spans="1:2" x14ac:dyDescent="0.2">
      <c r="A55" t="s">
        <v>1095</v>
      </c>
      <c r="B55" t="s">
        <v>583</v>
      </c>
    </row>
    <row r="56" spans="1:2" x14ac:dyDescent="0.2">
      <c r="A56" t="s">
        <v>1096</v>
      </c>
      <c r="B56" t="s">
        <v>584</v>
      </c>
    </row>
    <row r="57" spans="1:2" x14ac:dyDescent="0.2">
      <c r="A57" t="s">
        <v>1097</v>
      </c>
      <c r="B57" t="s">
        <v>585</v>
      </c>
    </row>
    <row r="58" spans="1:2" x14ac:dyDescent="0.2">
      <c r="A58" t="s">
        <v>1098</v>
      </c>
      <c r="B58" t="s">
        <v>1099</v>
      </c>
    </row>
    <row r="59" spans="1:2" x14ac:dyDescent="0.2">
      <c r="A59" t="s">
        <v>1100</v>
      </c>
      <c r="B59" t="s">
        <v>582</v>
      </c>
    </row>
    <row r="60" spans="1:2" x14ac:dyDescent="0.2">
      <c r="A60" t="s">
        <v>1101</v>
      </c>
      <c r="B60" t="s">
        <v>1102</v>
      </c>
    </row>
    <row r="61" spans="1:2" x14ac:dyDescent="0.2">
      <c r="A61" t="s">
        <v>1103</v>
      </c>
      <c r="B61" t="s">
        <v>587</v>
      </c>
    </row>
    <row r="62" spans="1:2" x14ac:dyDescent="0.2">
      <c r="A62" t="s">
        <v>1104</v>
      </c>
      <c r="B62" t="s">
        <v>588</v>
      </c>
    </row>
    <row r="63" spans="1:2" x14ac:dyDescent="0.2">
      <c r="A63" t="s">
        <v>1105</v>
      </c>
      <c r="B63" t="s">
        <v>589</v>
      </c>
    </row>
    <row r="64" spans="1:2" x14ac:dyDescent="0.2">
      <c r="A64" t="s">
        <v>1106</v>
      </c>
      <c r="B64" t="s">
        <v>586</v>
      </c>
    </row>
    <row r="65" spans="1:2" x14ac:dyDescent="0.2">
      <c r="A65" t="s">
        <v>1107</v>
      </c>
      <c r="B65" t="s">
        <v>590</v>
      </c>
    </row>
    <row r="66" spans="1:2" x14ac:dyDescent="0.2">
      <c r="A66" t="s">
        <v>1108</v>
      </c>
      <c r="B66" t="s">
        <v>591</v>
      </c>
    </row>
    <row r="67" spans="1:2" x14ac:dyDescent="0.2">
      <c r="A67" t="s">
        <v>1109</v>
      </c>
      <c r="B67" t="s">
        <v>592</v>
      </c>
    </row>
    <row r="68" spans="1:2" x14ac:dyDescent="0.2">
      <c r="A68" t="s">
        <v>1110</v>
      </c>
      <c r="B68" t="s">
        <v>593</v>
      </c>
    </row>
    <row r="69" spans="1:2" x14ac:dyDescent="0.2">
      <c r="A69" t="s">
        <v>1111</v>
      </c>
      <c r="B69" t="s">
        <v>594</v>
      </c>
    </row>
    <row r="70" spans="1:2" x14ac:dyDescent="0.2">
      <c r="A70" t="s">
        <v>1112</v>
      </c>
      <c r="B70" t="s">
        <v>1113</v>
      </c>
    </row>
    <row r="71" spans="1:2" x14ac:dyDescent="0.2">
      <c r="A71" t="s">
        <v>1114</v>
      </c>
      <c r="B71" t="s">
        <v>595</v>
      </c>
    </row>
    <row r="72" spans="1:2" x14ac:dyDescent="0.2">
      <c r="A72" t="s">
        <v>1115</v>
      </c>
      <c r="B72" t="s">
        <v>596</v>
      </c>
    </row>
    <row r="73" spans="1:2" x14ac:dyDescent="0.2">
      <c r="A73" t="s">
        <v>1116</v>
      </c>
      <c r="B73" t="s">
        <v>597</v>
      </c>
    </row>
    <row r="74" spans="1:2" x14ac:dyDescent="0.2">
      <c r="A74" t="s">
        <v>1117</v>
      </c>
      <c r="B74" t="s">
        <v>598</v>
      </c>
    </row>
    <row r="75" spans="1:2" x14ac:dyDescent="0.2">
      <c r="A75" t="s">
        <v>1118</v>
      </c>
      <c r="B75" t="s">
        <v>599</v>
      </c>
    </row>
    <row r="76" spans="1:2" x14ac:dyDescent="0.2">
      <c r="A76" t="s">
        <v>1119</v>
      </c>
      <c r="B76" t="s">
        <v>601</v>
      </c>
    </row>
    <row r="77" spans="1:2" x14ac:dyDescent="0.2">
      <c r="A77" t="s">
        <v>1120</v>
      </c>
      <c r="B77" t="s">
        <v>1121</v>
      </c>
    </row>
    <row r="78" spans="1:2" x14ac:dyDescent="0.2">
      <c r="A78" t="s">
        <v>1122</v>
      </c>
      <c r="B78" t="s">
        <v>600</v>
      </c>
    </row>
    <row r="79" spans="1:2" x14ac:dyDescent="0.2">
      <c r="A79" t="s">
        <v>1123</v>
      </c>
      <c r="B79" t="s">
        <v>602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3"/>
  <dimension ref="A1:S54"/>
  <sheetViews>
    <sheetView zoomScale="85" zoomScaleNormal="85" workbookViewId="0">
      <selection activeCell="M9" sqref="M9"/>
    </sheetView>
  </sheetViews>
  <sheetFormatPr defaultRowHeight="14.25" x14ac:dyDescent="0.2"/>
  <cols>
    <col min="1" max="1" width="14.125" customWidth="1"/>
    <col min="2" max="2" width="14.75" customWidth="1"/>
    <col min="3" max="3" width="1.75" customWidth="1"/>
    <col min="4" max="4" width="40.125" bestFit="1" customWidth="1"/>
    <col min="5" max="5" width="2" customWidth="1"/>
    <col min="6" max="6" width="9.25" customWidth="1"/>
    <col min="7" max="7" width="45.375" customWidth="1"/>
    <col min="8" max="8" width="1.875" customWidth="1"/>
    <col min="9" max="9" width="36.25" customWidth="1"/>
    <col min="10" max="10" width="2" customWidth="1"/>
    <col min="12" max="12" width="2" customWidth="1"/>
    <col min="13" max="13" width="41.125" customWidth="1"/>
    <col min="14" max="14" width="2.5" customWidth="1"/>
    <col min="15" max="15" width="28.875" bestFit="1" customWidth="1"/>
    <col min="16" max="16" width="2.125" customWidth="1"/>
    <col min="17" max="17" width="19.125" bestFit="1" customWidth="1"/>
    <col min="18" max="18" width="2.625" customWidth="1"/>
    <col min="19" max="19" width="28.625" bestFit="1" customWidth="1"/>
  </cols>
  <sheetData>
    <row r="1" spans="1:15" ht="18" x14ac:dyDescent="0.25">
      <c r="A1" s="40" t="s">
        <v>18</v>
      </c>
    </row>
    <row r="3" spans="1:15" s="2" customFormat="1" ht="15" x14ac:dyDescent="0.25">
      <c r="A3" s="2" t="s">
        <v>61</v>
      </c>
      <c r="B3" s="275" t="s">
        <v>815</v>
      </c>
      <c r="D3" s="2" t="s">
        <v>63</v>
      </c>
      <c r="F3" s="2" t="s">
        <v>64</v>
      </c>
      <c r="G3" s="2" t="s">
        <v>65</v>
      </c>
      <c r="I3" s="2" t="s">
        <v>66</v>
      </c>
      <c r="K3" s="2" t="s">
        <v>67</v>
      </c>
      <c r="M3" s="55" t="s">
        <v>44</v>
      </c>
      <c r="O3" s="55" t="s">
        <v>106</v>
      </c>
    </row>
    <row r="4" spans="1:15" x14ac:dyDescent="0.2">
      <c r="A4" s="1" t="s">
        <v>3</v>
      </c>
      <c r="B4" t="s">
        <v>816</v>
      </c>
      <c r="D4" s="1" t="s">
        <v>42</v>
      </c>
      <c r="E4" s="1"/>
      <c r="F4" s="3">
        <v>1300</v>
      </c>
      <c r="G4" s="3"/>
      <c r="H4" s="3"/>
      <c r="I4" s="3" t="s">
        <v>42</v>
      </c>
      <c r="J4" s="3"/>
      <c r="K4" s="1" t="s">
        <v>22</v>
      </c>
      <c r="L4" s="1"/>
      <c r="M4" s="56" t="s">
        <v>114</v>
      </c>
      <c r="O4" s="83" t="s">
        <v>107</v>
      </c>
    </row>
    <row r="5" spans="1:15" x14ac:dyDescent="0.2">
      <c r="A5" s="1" t="s">
        <v>100</v>
      </c>
      <c r="B5" t="s">
        <v>817</v>
      </c>
      <c r="D5" s="1" t="s">
        <v>43</v>
      </c>
      <c r="E5" s="1"/>
      <c r="F5" s="3">
        <v>1460</v>
      </c>
      <c r="G5" s="3" t="s">
        <v>70</v>
      </c>
      <c r="H5" s="3"/>
      <c r="I5" s="3" t="s">
        <v>44</v>
      </c>
      <c r="J5" s="3"/>
      <c r="K5" s="1" t="s">
        <v>23</v>
      </c>
      <c r="L5" s="1"/>
      <c r="M5" s="56" t="s">
        <v>123</v>
      </c>
      <c r="O5" s="84" t="s">
        <v>103</v>
      </c>
    </row>
    <row r="6" spans="1:15" x14ac:dyDescent="0.2">
      <c r="A6" s="1" t="s">
        <v>92</v>
      </c>
      <c r="B6" t="s">
        <v>818</v>
      </c>
      <c r="D6" s="1" t="s">
        <v>608</v>
      </c>
      <c r="E6" s="1"/>
      <c r="F6" s="3">
        <v>1485</v>
      </c>
      <c r="G6" s="3" t="s">
        <v>14</v>
      </c>
      <c r="H6" s="3"/>
      <c r="I6" s="3" t="s">
        <v>43</v>
      </c>
      <c r="J6" s="3"/>
      <c r="K6" s="1"/>
      <c r="L6" s="1"/>
      <c r="M6" s="56" t="s">
        <v>46</v>
      </c>
      <c r="O6" t="s">
        <v>45</v>
      </c>
    </row>
    <row r="7" spans="1:15" x14ac:dyDescent="0.2">
      <c r="A7" t="s">
        <v>93</v>
      </c>
      <c r="B7" t="s">
        <v>819</v>
      </c>
      <c r="C7" s="1"/>
      <c r="D7" t="s">
        <v>44</v>
      </c>
      <c r="E7" s="1"/>
      <c r="F7" s="3">
        <v>1642</v>
      </c>
      <c r="G7" s="3" t="s">
        <v>9</v>
      </c>
      <c r="H7" s="3"/>
      <c r="I7" s="3" t="s">
        <v>45</v>
      </c>
      <c r="J7" s="3"/>
      <c r="K7" s="3"/>
      <c r="L7" s="1"/>
      <c r="M7" s="56" t="s">
        <v>159</v>
      </c>
    </row>
    <row r="8" spans="1:15" x14ac:dyDescent="0.2">
      <c r="A8" s="1" t="s">
        <v>5</v>
      </c>
      <c r="B8" t="s">
        <v>820</v>
      </c>
      <c r="C8" s="1"/>
      <c r="D8" s="1"/>
      <c r="E8" s="1"/>
      <c r="F8" s="3" t="s">
        <v>15</v>
      </c>
      <c r="G8" s="3" t="s">
        <v>17</v>
      </c>
      <c r="H8" s="3"/>
      <c r="I8" s="3"/>
      <c r="J8" s="3"/>
      <c r="K8" s="3"/>
      <c r="L8" s="1"/>
      <c r="M8" s="56" t="s">
        <v>158</v>
      </c>
    </row>
    <row r="9" spans="1:15" x14ac:dyDescent="0.2">
      <c r="A9" t="s">
        <v>117</v>
      </c>
      <c r="B9" t="s">
        <v>316</v>
      </c>
      <c r="C9" s="1"/>
      <c r="D9" s="1"/>
      <c r="E9" s="1"/>
      <c r="F9" s="3">
        <v>1460</v>
      </c>
      <c r="G9" s="3" t="s">
        <v>16</v>
      </c>
      <c r="H9" s="3"/>
      <c r="I9" s="3"/>
      <c r="J9" s="3"/>
      <c r="K9" s="3"/>
      <c r="L9" s="1"/>
      <c r="M9" s="56" t="s">
        <v>83</v>
      </c>
    </row>
    <row r="10" spans="1:15" x14ac:dyDescent="0.2">
      <c r="A10" t="s">
        <v>94</v>
      </c>
      <c r="B10" t="s">
        <v>821</v>
      </c>
      <c r="C10" s="1"/>
      <c r="D10" s="1"/>
      <c r="E10" s="1"/>
      <c r="F10" s="3">
        <v>1642</v>
      </c>
      <c r="G10" s="3" t="s">
        <v>13</v>
      </c>
      <c r="H10" s="3"/>
      <c r="I10" s="3"/>
      <c r="J10" s="3"/>
      <c r="K10" s="3"/>
      <c r="L10" s="1"/>
      <c r="M10" s="56" t="s">
        <v>47</v>
      </c>
    </row>
    <row r="11" spans="1:15" x14ac:dyDescent="0.2">
      <c r="A11" t="s">
        <v>115</v>
      </c>
      <c r="B11" t="s">
        <v>822</v>
      </c>
      <c r="C11" s="1"/>
      <c r="D11" s="1"/>
      <c r="E11" s="1"/>
      <c r="F11" s="1"/>
      <c r="G11" s="1"/>
      <c r="H11" s="1"/>
      <c r="I11" s="3"/>
      <c r="J11" s="3"/>
      <c r="K11" s="3"/>
      <c r="L11" s="1"/>
      <c r="M11" s="61" t="s">
        <v>121</v>
      </c>
    </row>
    <row r="12" spans="1:15" x14ac:dyDescent="0.2">
      <c r="A12" t="s">
        <v>116</v>
      </c>
      <c r="B12" t="s">
        <v>308</v>
      </c>
      <c r="C12" s="1"/>
      <c r="D12" s="1"/>
      <c r="E12" s="1"/>
      <c r="F12" s="1"/>
      <c r="G12" s="1"/>
      <c r="H12" s="1"/>
      <c r="I12" s="3"/>
      <c r="J12" s="3"/>
      <c r="K12" s="3"/>
      <c r="L12" s="1"/>
      <c r="M12" s="56" t="s">
        <v>122</v>
      </c>
    </row>
    <row r="13" spans="1:15" x14ac:dyDescent="0.2">
      <c r="A13" s="1" t="s">
        <v>4</v>
      </c>
      <c r="B13" t="s">
        <v>823</v>
      </c>
      <c r="C13" s="1"/>
      <c r="D13" s="1"/>
      <c r="E13" s="1"/>
      <c r="F13" s="1"/>
      <c r="G13" s="1"/>
      <c r="H13" s="1"/>
      <c r="I13" s="3"/>
      <c r="J13" s="3"/>
      <c r="K13" s="3"/>
      <c r="L13" s="1"/>
      <c r="M13" s="56" t="s">
        <v>48</v>
      </c>
    </row>
    <row r="14" spans="1:15" x14ac:dyDescent="0.2">
      <c r="A14" s="1" t="s">
        <v>6</v>
      </c>
      <c r="B14" t="s">
        <v>824</v>
      </c>
      <c r="C14" s="1"/>
      <c r="D14" s="1"/>
      <c r="E14" s="1"/>
      <c r="F14" s="1"/>
      <c r="G14" s="1"/>
      <c r="H14" s="1"/>
      <c r="I14" s="3"/>
      <c r="J14" s="3"/>
      <c r="K14" s="3"/>
      <c r="L14" s="1"/>
      <c r="M14" s="56" t="s">
        <v>49</v>
      </c>
    </row>
    <row r="15" spans="1:15" x14ac:dyDescent="0.2">
      <c r="A15" t="s">
        <v>95</v>
      </c>
      <c r="B15" t="s">
        <v>825</v>
      </c>
      <c r="C15" s="1"/>
      <c r="D15" s="1"/>
      <c r="E15" s="1"/>
      <c r="F15" s="1"/>
      <c r="G15" s="1"/>
      <c r="H15" s="1"/>
      <c r="I15" s="3"/>
      <c r="J15" s="3"/>
      <c r="K15" s="3"/>
      <c r="L15" s="1"/>
      <c r="M15" s="56" t="s">
        <v>50</v>
      </c>
    </row>
    <row r="16" spans="1:15" x14ac:dyDescent="0.2">
      <c r="A16" s="1" t="s">
        <v>21</v>
      </c>
      <c r="B16" t="s">
        <v>826</v>
      </c>
      <c r="C16" s="1"/>
      <c r="D16" s="1"/>
      <c r="E16" s="1"/>
      <c r="F16" s="1"/>
      <c r="G16" s="1"/>
      <c r="H16" s="1"/>
      <c r="I16" s="3"/>
      <c r="J16" s="3"/>
      <c r="K16" s="3"/>
      <c r="L16" s="1"/>
      <c r="M16" s="56" t="s">
        <v>51</v>
      </c>
    </row>
    <row r="17" spans="1:19" x14ac:dyDescent="0.2">
      <c r="C17" s="1"/>
      <c r="E17" s="1"/>
      <c r="G17" s="1"/>
      <c r="H17" s="1"/>
      <c r="I17" s="3"/>
      <c r="J17" s="3"/>
      <c r="K17" s="3"/>
      <c r="L17" s="1"/>
    </row>
    <row r="18" spans="1:19" x14ac:dyDescent="0.2">
      <c r="A18" s="1"/>
      <c r="B18" s="1"/>
      <c r="C18" s="1"/>
      <c r="E18" s="1"/>
      <c r="H18" s="1"/>
      <c r="I18" s="408" t="s">
        <v>200</v>
      </c>
      <c r="J18" s="408"/>
      <c r="K18" s="408"/>
      <c r="L18" s="408"/>
      <c r="M18" s="408"/>
    </row>
    <row r="19" spans="1:19" ht="15" x14ac:dyDescent="0.25">
      <c r="A19" s="2" t="s">
        <v>68</v>
      </c>
      <c r="B19" s="270" t="s">
        <v>97</v>
      </c>
      <c r="D19" s="2" t="s">
        <v>67</v>
      </c>
      <c r="F19" s="55" t="s">
        <v>69</v>
      </c>
      <c r="I19" s="2" t="s">
        <v>87</v>
      </c>
      <c r="J19" s="3"/>
      <c r="K19" s="55" t="s">
        <v>64</v>
      </c>
      <c r="L19" s="1"/>
      <c r="M19" s="55" t="s">
        <v>88</v>
      </c>
      <c r="O19" s="55" t="s">
        <v>107</v>
      </c>
      <c r="Q19" s="55" t="s">
        <v>802</v>
      </c>
      <c r="S19" s="55" t="s">
        <v>801</v>
      </c>
    </row>
    <row r="20" spans="1:19" x14ac:dyDescent="0.2">
      <c r="A20" s="1" t="s">
        <v>1317</v>
      </c>
      <c r="B20" t="s">
        <v>20</v>
      </c>
      <c r="D20" s="1" t="s">
        <v>22</v>
      </c>
      <c r="F20" s="56">
        <v>1</v>
      </c>
      <c r="I20" t="s">
        <v>210</v>
      </c>
      <c r="J20" s="3"/>
      <c r="K20" s="110">
        <v>1460</v>
      </c>
      <c r="L20" s="1"/>
      <c r="M20" s="112">
        <v>20</v>
      </c>
      <c r="O20" s="114" t="s">
        <v>45</v>
      </c>
      <c r="Q20" t="s">
        <v>43</v>
      </c>
      <c r="S20" t="s">
        <v>43</v>
      </c>
    </row>
    <row r="21" spans="1:19" x14ac:dyDescent="0.2">
      <c r="A21" s="1" t="s">
        <v>1318</v>
      </c>
      <c r="B21" t="s">
        <v>20</v>
      </c>
      <c r="D21" s="1" t="s">
        <v>23</v>
      </c>
      <c r="F21" s="56">
        <v>7.45</v>
      </c>
      <c r="I21" t="s">
        <v>86</v>
      </c>
      <c r="K21" s="110">
        <v>1460</v>
      </c>
      <c r="M21" s="110">
        <v>20</v>
      </c>
      <c r="O21" s="114" t="s">
        <v>45</v>
      </c>
      <c r="Q21" t="s">
        <v>43</v>
      </c>
      <c r="S21" t="s">
        <v>43</v>
      </c>
    </row>
    <row r="22" spans="1:19" x14ac:dyDescent="0.2">
      <c r="A22" s="1" t="s">
        <v>1319</v>
      </c>
      <c r="D22" s="1" t="s">
        <v>24</v>
      </c>
      <c r="F22" s="56">
        <v>0.67</v>
      </c>
      <c r="I22" t="s">
        <v>202</v>
      </c>
      <c r="K22" s="110">
        <v>1460</v>
      </c>
      <c r="M22" s="110">
        <v>20</v>
      </c>
      <c r="O22" s="114" t="s">
        <v>45</v>
      </c>
      <c r="Q22" t="s">
        <v>43</v>
      </c>
      <c r="S22" t="s">
        <v>43</v>
      </c>
    </row>
    <row r="23" spans="1:19" x14ac:dyDescent="0.2">
      <c r="A23" s="1" t="s">
        <v>225</v>
      </c>
      <c r="D23" t="s">
        <v>25</v>
      </c>
      <c r="F23" s="58">
        <v>0.68</v>
      </c>
      <c r="I23" t="s">
        <v>201</v>
      </c>
      <c r="K23" s="110">
        <v>1460</v>
      </c>
      <c r="M23" s="110">
        <v>0</v>
      </c>
      <c r="O23" s="115" t="s">
        <v>107</v>
      </c>
    </row>
    <row r="24" spans="1:19" x14ac:dyDescent="0.2">
      <c r="A24" s="1" t="s">
        <v>41</v>
      </c>
      <c r="B24" s="1" t="s">
        <v>41</v>
      </c>
      <c r="D24" t="s">
        <v>26</v>
      </c>
      <c r="F24" s="59">
        <v>7.02</v>
      </c>
      <c r="I24" t="s">
        <v>209</v>
      </c>
      <c r="K24" s="110">
        <v>1460</v>
      </c>
      <c r="M24" s="110">
        <v>44</v>
      </c>
      <c r="O24" s="114" t="s">
        <v>45</v>
      </c>
      <c r="Q24" t="s">
        <v>608</v>
      </c>
      <c r="S24" t="s">
        <v>43</v>
      </c>
    </row>
    <row r="25" spans="1:19" x14ac:dyDescent="0.2">
      <c r="A25" s="1" t="s">
        <v>227</v>
      </c>
      <c r="D25" s="1" t="s">
        <v>52</v>
      </c>
      <c r="F25" s="59">
        <v>0</v>
      </c>
      <c r="I25" t="s">
        <v>205</v>
      </c>
      <c r="K25" s="110">
        <v>1460</v>
      </c>
      <c r="M25" s="110">
        <v>44</v>
      </c>
      <c r="O25" s="114" t="s">
        <v>45</v>
      </c>
      <c r="Q25" t="s">
        <v>43</v>
      </c>
      <c r="S25" t="s">
        <v>43</v>
      </c>
    </row>
    <row r="26" spans="1:19" x14ac:dyDescent="0.2">
      <c r="A26" s="1" t="s">
        <v>228</v>
      </c>
      <c r="I26" t="s">
        <v>215</v>
      </c>
      <c r="K26" s="110">
        <v>1460</v>
      </c>
      <c r="M26" s="110">
        <v>0</v>
      </c>
      <c r="O26" s="114" t="s">
        <v>45</v>
      </c>
    </row>
    <row r="27" spans="1:19" x14ac:dyDescent="0.2">
      <c r="A27" s="1" t="s">
        <v>229</v>
      </c>
      <c r="I27" t="s">
        <v>216</v>
      </c>
      <c r="K27" s="111">
        <v>1485</v>
      </c>
      <c r="M27" s="111">
        <v>25</v>
      </c>
      <c r="O27" s="114" t="s">
        <v>45</v>
      </c>
      <c r="Q27" t="s">
        <v>43</v>
      </c>
    </row>
    <row r="28" spans="1:19" ht="15" x14ac:dyDescent="0.25">
      <c r="A28" s="1" t="s">
        <v>230</v>
      </c>
      <c r="D28" s="2" t="s">
        <v>111</v>
      </c>
      <c r="I28" t="s">
        <v>207</v>
      </c>
      <c r="K28" s="111">
        <v>1500</v>
      </c>
      <c r="M28" s="111">
        <v>44</v>
      </c>
      <c r="O28" s="114" t="s">
        <v>45</v>
      </c>
      <c r="Q28" t="s">
        <v>43</v>
      </c>
      <c r="S28" t="s">
        <v>43</v>
      </c>
    </row>
    <row r="29" spans="1:19" x14ac:dyDescent="0.2">
      <c r="A29" s="1" t="s">
        <v>1320</v>
      </c>
      <c r="D29" s="1" t="s">
        <v>113</v>
      </c>
      <c r="I29" t="s">
        <v>214</v>
      </c>
      <c r="K29" s="111">
        <v>1460</v>
      </c>
      <c r="M29" s="111">
        <v>20</v>
      </c>
      <c r="O29" s="114" t="s">
        <v>45</v>
      </c>
      <c r="Q29" t="s">
        <v>43</v>
      </c>
      <c r="S29" t="s">
        <v>43</v>
      </c>
    </row>
    <row r="30" spans="1:19" x14ac:dyDescent="0.2">
      <c r="A30" s="1" t="s">
        <v>1321</v>
      </c>
      <c r="D30" s="1" t="s">
        <v>152</v>
      </c>
      <c r="I30" s="1" t="s">
        <v>217</v>
      </c>
      <c r="K30" s="110">
        <v>1642</v>
      </c>
      <c r="M30" s="110">
        <v>44</v>
      </c>
      <c r="O30" s="114" t="s">
        <v>45</v>
      </c>
      <c r="Q30" t="s">
        <v>43</v>
      </c>
      <c r="S30" t="s">
        <v>43</v>
      </c>
    </row>
    <row r="31" spans="1:19" ht="15" x14ac:dyDescent="0.25">
      <c r="A31" s="55" t="s">
        <v>118</v>
      </c>
      <c r="D31" s="1" t="s">
        <v>112</v>
      </c>
      <c r="I31" s="1" t="s">
        <v>84</v>
      </c>
      <c r="K31" s="111">
        <v>1485</v>
      </c>
      <c r="M31" s="111">
        <v>25</v>
      </c>
      <c r="O31" s="114" t="s">
        <v>45</v>
      </c>
      <c r="Q31" t="s">
        <v>43</v>
      </c>
    </row>
    <row r="32" spans="1:19" x14ac:dyDescent="0.2">
      <c r="A32" s="1" t="s">
        <v>119</v>
      </c>
      <c r="D32" s="1" t="s">
        <v>654</v>
      </c>
      <c r="I32" t="s">
        <v>102</v>
      </c>
      <c r="K32" s="111">
        <v>1485</v>
      </c>
      <c r="M32" s="111">
        <v>25</v>
      </c>
      <c r="O32" s="114" t="s">
        <v>45</v>
      </c>
      <c r="Q32" t="s">
        <v>43</v>
      </c>
    </row>
    <row r="33" spans="1:19" x14ac:dyDescent="0.2">
      <c r="A33" s="1" t="s">
        <v>120</v>
      </c>
      <c r="I33" s="1" t="s">
        <v>206</v>
      </c>
      <c r="K33" s="111">
        <v>1460</v>
      </c>
      <c r="M33" s="111">
        <v>44</v>
      </c>
      <c r="O33" s="114" t="s">
        <v>45</v>
      </c>
      <c r="Q33" t="s">
        <v>43</v>
      </c>
      <c r="S33" t="s">
        <v>43</v>
      </c>
    </row>
    <row r="34" spans="1:19" x14ac:dyDescent="0.2">
      <c r="A34" s="57"/>
      <c r="I34" t="s">
        <v>218</v>
      </c>
      <c r="K34" s="111">
        <v>1642</v>
      </c>
      <c r="M34" s="111">
        <v>44</v>
      </c>
      <c r="O34" s="114" t="s">
        <v>45</v>
      </c>
      <c r="Q34" t="s">
        <v>43</v>
      </c>
      <c r="S34" t="s">
        <v>43</v>
      </c>
    </row>
    <row r="35" spans="1:19" x14ac:dyDescent="0.2">
      <c r="I35" t="s">
        <v>222</v>
      </c>
      <c r="K35" s="111">
        <v>1460</v>
      </c>
      <c r="M35" s="111">
        <v>0</v>
      </c>
      <c r="O35" s="115" t="s">
        <v>107</v>
      </c>
      <c r="Q35" t="s">
        <v>45</v>
      </c>
    </row>
    <row r="36" spans="1:19" ht="15" x14ac:dyDescent="0.25">
      <c r="A36" s="55" t="s">
        <v>27</v>
      </c>
      <c r="D36" s="2" t="s">
        <v>62</v>
      </c>
      <c r="I36" t="s">
        <v>221</v>
      </c>
      <c r="K36" s="111">
        <v>1460</v>
      </c>
      <c r="M36" s="111">
        <v>0</v>
      </c>
      <c r="O36" s="115" t="s">
        <v>107</v>
      </c>
    </row>
    <row r="37" spans="1:19" x14ac:dyDescent="0.2">
      <c r="A37" t="s">
        <v>198</v>
      </c>
      <c r="D37" s="43">
        <v>0</v>
      </c>
      <c r="I37" s="1" t="s">
        <v>212</v>
      </c>
      <c r="K37" s="111">
        <v>1460</v>
      </c>
      <c r="M37" s="111">
        <v>20</v>
      </c>
      <c r="O37" s="114" t="s">
        <v>45</v>
      </c>
      <c r="Q37" t="s">
        <v>43</v>
      </c>
      <c r="S37" t="s">
        <v>43</v>
      </c>
    </row>
    <row r="38" spans="1:19" x14ac:dyDescent="0.2">
      <c r="A38" t="s">
        <v>199</v>
      </c>
      <c r="D38">
        <v>5</v>
      </c>
      <c r="I38" t="s">
        <v>219</v>
      </c>
      <c r="K38" s="111">
        <v>1460</v>
      </c>
      <c r="M38" s="111">
        <v>44</v>
      </c>
      <c r="O38" s="114" t="s">
        <v>45</v>
      </c>
      <c r="Q38" t="s">
        <v>43</v>
      </c>
      <c r="S38" t="s">
        <v>43</v>
      </c>
    </row>
    <row r="39" spans="1:19" x14ac:dyDescent="0.2">
      <c r="D39">
        <v>10</v>
      </c>
      <c r="I39" t="s">
        <v>208</v>
      </c>
      <c r="K39" s="111">
        <v>1628</v>
      </c>
      <c r="M39" s="111">
        <v>44</v>
      </c>
      <c r="O39" s="114" t="s">
        <v>45</v>
      </c>
      <c r="Q39" t="s">
        <v>43</v>
      </c>
      <c r="S39" t="s">
        <v>43</v>
      </c>
    </row>
    <row r="40" spans="1:19" ht="15" x14ac:dyDescent="0.25">
      <c r="A40" s="55" t="s">
        <v>373</v>
      </c>
      <c r="D40">
        <v>15</v>
      </c>
      <c r="I40" t="s">
        <v>85</v>
      </c>
      <c r="K40" s="110">
        <v>1642</v>
      </c>
      <c r="M40" s="110">
        <v>44</v>
      </c>
      <c r="O40" s="114" t="s">
        <v>45</v>
      </c>
      <c r="Q40" t="s">
        <v>43</v>
      </c>
      <c r="S40" t="s">
        <v>43</v>
      </c>
    </row>
    <row r="41" spans="1:19" x14ac:dyDescent="0.2">
      <c r="D41" s="1">
        <v>20</v>
      </c>
      <c r="I41" t="s">
        <v>203</v>
      </c>
      <c r="K41" s="110">
        <v>1460</v>
      </c>
      <c r="M41" s="110">
        <v>0</v>
      </c>
      <c r="O41" s="115" t="s">
        <v>107</v>
      </c>
    </row>
    <row r="42" spans="1:19" x14ac:dyDescent="0.2">
      <c r="A42">
        <v>2</v>
      </c>
      <c r="D42" s="1">
        <v>25</v>
      </c>
      <c r="I42" t="s">
        <v>213</v>
      </c>
      <c r="K42" s="110">
        <v>1460</v>
      </c>
      <c r="M42" s="110">
        <v>20</v>
      </c>
      <c r="O42" s="114" t="s">
        <v>45</v>
      </c>
      <c r="Q42" t="s">
        <v>43</v>
      </c>
      <c r="S42" t="s">
        <v>43</v>
      </c>
    </row>
    <row r="43" spans="1:19" x14ac:dyDescent="0.2">
      <c r="D43" s="1">
        <v>44</v>
      </c>
      <c r="I43" t="s">
        <v>204</v>
      </c>
      <c r="K43" s="110">
        <v>1460</v>
      </c>
      <c r="M43" s="110">
        <v>0</v>
      </c>
      <c r="O43" s="115" t="s">
        <v>107</v>
      </c>
    </row>
    <row r="44" spans="1:19" ht="15" x14ac:dyDescent="0.25">
      <c r="A44" s="55" t="s">
        <v>545</v>
      </c>
      <c r="I44" t="s">
        <v>220</v>
      </c>
      <c r="K44" s="110">
        <v>1460</v>
      </c>
      <c r="M44" s="110">
        <v>0</v>
      </c>
      <c r="O44" s="115" t="s">
        <v>107</v>
      </c>
    </row>
    <row r="45" spans="1:19" x14ac:dyDescent="0.2">
      <c r="A45">
        <v>10</v>
      </c>
      <c r="I45" t="s">
        <v>211</v>
      </c>
      <c r="K45" s="110">
        <v>1460</v>
      </c>
      <c r="M45" s="113">
        <v>20</v>
      </c>
      <c r="O45" s="114" t="s">
        <v>45</v>
      </c>
      <c r="Q45" t="s">
        <v>43</v>
      </c>
      <c r="S45" t="s">
        <v>43</v>
      </c>
    </row>
    <row r="46" spans="1:19" x14ac:dyDescent="0.2">
      <c r="A46">
        <v>3.6</v>
      </c>
    </row>
    <row r="48" spans="1:19" ht="15" x14ac:dyDescent="0.25">
      <c r="A48" s="55" t="s">
        <v>814</v>
      </c>
    </row>
    <row r="49" spans="1:1" x14ac:dyDescent="0.2">
      <c r="A49" s="1" t="s">
        <v>119</v>
      </c>
    </row>
    <row r="50" spans="1:1" x14ac:dyDescent="0.2">
      <c r="A50" s="1" t="s">
        <v>120</v>
      </c>
    </row>
    <row r="52" spans="1:1" ht="15" x14ac:dyDescent="0.25">
      <c r="A52" s="55" t="s">
        <v>1324</v>
      </c>
    </row>
    <row r="53" spans="1:1" x14ac:dyDescent="0.2">
      <c r="A53" s="1" t="s">
        <v>119</v>
      </c>
    </row>
    <row r="54" spans="1:1" x14ac:dyDescent="0.2">
      <c r="A54" s="1" t="s">
        <v>120</v>
      </c>
    </row>
  </sheetData>
  <mergeCells count="1">
    <mergeCell ref="I18:M18"/>
  </mergeCells>
  <phoneticPr fontId="52" type="noConversion"/>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2371-8118-42B0-8059-EF792814A57D}">
  <sheetPr codeName="Ark10">
    <pageSetUpPr fitToPage="1"/>
  </sheetPr>
  <dimension ref="A1:C113"/>
  <sheetViews>
    <sheetView topLeftCell="A28" zoomScaleNormal="100" workbookViewId="0">
      <selection activeCell="B36" sqref="B36"/>
    </sheetView>
  </sheetViews>
  <sheetFormatPr defaultRowHeight="15" x14ac:dyDescent="0.25"/>
  <cols>
    <col min="1" max="1" width="30.25" style="30" customWidth="1"/>
    <col min="2" max="3" width="96.875" style="30" customWidth="1"/>
  </cols>
  <sheetData>
    <row r="1" spans="1:3" ht="21" x14ac:dyDescent="0.35">
      <c r="A1" s="305" t="s">
        <v>1242</v>
      </c>
    </row>
    <row r="2" spans="1:3" ht="18.75" x14ac:dyDescent="0.3">
      <c r="A2" s="246" t="s">
        <v>1269</v>
      </c>
    </row>
    <row r="3" spans="1:3" ht="45" x14ac:dyDescent="0.25">
      <c r="A3" s="256" t="s">
        <v>1244</v>
      </c>
      <c r="B3" s="306" t="s">
        <v>1272</v>
      </c>
      <c r="C3" s="306" t="s">
        <v>1236</v>
      </c>
    </row>
    <row r="4" spans="1:3" x14ac:dyDescent="0.25">
      <c r="A4" s="256" t="s">
        <v>1239</v>
      </c>
      <c r="B4" s="306" t="s">
        <v>1246</v>
      </c>
      <c r="C4" s="307" t="s">
        <v>1245</v>
      </c>
    </row>
    <row r="5" spans="1:3" x14ac:dyDescent="0.25">
      <c r="A5" s="256" t="s">
        <v>1248</v>
      </c>
      <c r="B5" s="306" t="s">
        <v>1273</v>
      </c>
      <c r="C5" s="307" t="s">
        <v>1247</v>
      </c>
    </row>
    <row r="6" spans="1:3" x14ac:dyDescent="0.25">
      <c r="A6" s="256" t="s">
        <v>1240</v>
      </c>
      <c r="B6" s="306" t="s">
        <v>1274</v>
      </c>
      <c r="C6" s="307" t="s">
        <v>1237</v>
      </c>
    </row>
    <row r="7" spans="1:3" x14ac:dyDescent="0.25">
      <c r="A7" s="256" t="s">
        <v>1241</v>
      </c>
      <c r="B7" s="306" t="s">
        <v>1275</v>
      </c>
      <c r="C7" s="307" t="s">
        <v>1249</v>
      </c>
    </row>
    <row r="8" spans="1:3" ht="30" x14ac:dyDescent="0.25">
      <c r="A8" s="256" t="s">
        <v>745</v>
      </c>
      <c r="B8" s="306" t="s">
        <v>1276</v>
      </c>
      <c r="C8" s="306" t="s">
        <v>1250</v>
      </c>
    </row>
    <row r="9" spans="1:3" ht="45" x14ac:dyDescent="0.25">
      <c r="A9" s="256" t="s">
        <v>1253</v>
      </c>
      <c r="B9" s="306" t="s">
        <v>1252</v>
      </c>
      <c r="C9" s="306" t="s">
        <v>1251</v>
      </c>
    </row>
    <row r="10" spans="1:3" ht="45" x14ac:dyDescent="0.25">
      <c r="A10" s="256" t="s">
        <v>1254</v>
      </c>
      <c r="B10" s="306" t="s">
        <v>1277</v>
      </c>
      <c r="C10" s="306" t="s">
        <v>1238</v>
      </c>
    </row>
    <row r="11" spans="1:3" ht="30" x14ac:dyDescent="0.25">
      <c r="A11" s="256" t="s">
        <v>1255</v>
      </c>
      <c r="B11" s="306" t="s">
        <v>1256</v>
      </c>
      <c r="C11" s="306" t="s">
        <v>1243</v>
      </c>
    </row>
    <row r="12" spans="1:3" x14ac:dyDescent="0.25">
      <c r="B12" s="304"/>
      <c r="C12" s="304"/>
    </row>
    <row r="13" spans="1:3" ht="18.75" x14ac:dyDescent="0.3">
      <c r="A13" s="246" t="s">
        <v>1270</v>
      </c>
      <c r="B13" s="304"/>
      <c r="C13" s="304"/>
    </row>
    <row r="14" spans="1:3" s="247" customFormat="1" ht="18.75" x14ac:dyDescent="0.3">
      <c r="A14" s="246" t="s">
        <v>1271</v>
      </c>
      <c r="B14" s="246" t="s">
        <v>65</v>
      </c>
      <c r="C14" s="246" t="s">
        <v>726</v>
      </c>
    </row>
    <row r="15" spans="1:3" s="249" customFormat="1" ht="38.25" x14ac:dyDescent="0.2">
      <c r="A15" s="19" t="s">
        <v>156</v>
      </c>
      <c r="B15" s="248" t="s">
        <v>1140</v>
      </c>
      <c r="C15" s="248" t="s">
        <v>1187</v>
      </c>
    </row>
    <row r="16" spans="1:3" s="249" customFormat="1" ht="12.75" x14ac:dyDescent="0.2">
      <c r="A16" s="19" t="s">
        <v>125</v>
      </c>
      <c r="B16" s="248" t="s">
        <v>1139</v>
      </c>
      <c r="C16" s="248" t="s">
        <v>1188</v>
      </c>
    </row>
    <row r="17" spans="1:3" s="249" customFormat="1" ht="12.75" x14ac:dyDescent="0.2">
      <c r="A17" s="19" t="s">
        <v>727</v>
      </c>
      <c r="B17" s="248" t="s">
        <v>1141</v>
      </c>
      <c r="C17" s="248" t="s">
        <v>1189</v>
      </c>
    </row>
    <row r="18" spans="1:3" s="249" customFormat="1" ht="38.25" x14ac:dyDescent="0.2">
      <c r="A18" s="19" t="s">
        <v>613</v>
      </c>
      <c r="B18" s="248" t="s">
        <v>1142</v>
      </c>
      <c r="C18" s="248" t="s">
        <v>1190</v>
      </c>
    </row>
    <row r="19" spans="1:3" s="249" customFormat="1" ht="40.9" customHeight="1" x14ac:dyDescent="0.2">
      <c r="A19" s="19" t="s">
        <v>728</v>
      </c>
      <c r="B19" s="248" t="s">
        <v>1143</v>
      </c>
      <c r="C19" s="248" t="s">
        <v>1191</v>
      </c>
    </row>
    <row r="20" spans="1:3" s="249" customFormat="1" ht="38.25" x14ac:dyDescent="0.2">
      <c r="A20" s="19" t="s">
        <v>729</v>
      </c>
      <c r="B20" s="248" t="s">
        <v>1144</v>
      </c>
      <c r="C20" s="248" t="s">
        <v>1192</v>
      </c>
    </row>
    <row r="21" spans="1:3" s="249" customFormat="1" ht="55.9" customHeight="1" x14ac:dyDescent="0.2">
      <c r="A21" s="19" t="s">
        <v>105</v>
      </c>
      <c r="B21" s="248" t="s">
        <v>1279</v>
      </c>
      <c r="C21" s="248" t="s">
        <v>1278</v>
      </c>
    </row>
    <row r="22" spans="1:3" s="249" customFormat="1" ht="31.9" customHeight="1" x14ac:dyDescent="0.2">
      <c r="A22" s="250" t="s">
        <v>730</v>
      </c>
      <c r="B22" s="248" t="s">
        <v>1145</v>
      </c>
      <c r="C22" s="248" t="s">
        <v>1193</v>
      </c>
    </row>
    <row r="23" spans="1:3" s="249" customFormat="1" ht="31.9" customHeight="1" x14ac:dyDescent="0.2">
      <c r="A23" s="250" t="s">
        <v>731</v>
      </c>
      <c r="B23" s="248" t="s">
        <v>1146</v>
      </c>
      <c r="C23" s="248" t="s">
        <v>1194</v>
      </c>
    </row>
    <row r="24" spans="1:3" s="249" customFormat="1" ht="31.9" customHeight="1" x14ac:dyDescent="0.2">
      <c r="A24" s="250" t="s">
        <v>732</v>
      </c>
      <c r="B24" s="248" t="s">
        <v>1147</v>
      </c>
      <c r="C24" s="248" t="s">
        <v>1195</v>
      </c>
    </row>
    <row r="25" spans="1:3" s="249" customFormat="1" ht="31.9" customHeight="1" x14ac:dyDescent="0.2">
      <c r="A25" s="251" t="s">
        <v>546</v>
      </c>
      <c r="B25" s="248" t="s">
        <v>1148</v>
      </c>
      <c r="C25" s="248" t="s">
        <v>1196</v>
      </c>
    </row>
    <row r="26" spans="1:3" s="249" customFormat="1" ht="40.15" customHeight="1" x14ac:dyDescent="0.2">
      <c r="A26" s="251" t="s">
        <v>733</v>
      </c>
      <c r="B26" s="248" t="s">
        <v>1149</v>
      </c>
      <c r="C26" s="248" t="s">
        <v>1197</v>
      </c>
    </row>
    <row r="27" spans="1:3" s="249" customFormat="1" ht="31.9" customHeight="1" x14ac:dyDescent="0.2">
      <c r="A27" s="250" t="s">
        <v>547</v>
      </c>
      <c r="B27" s="248" t="s">
        <v>1280</v>
      </c>
      <c r="C27" s="248" t="s">
        <v>1281</v>
      </c>
    </row>
    <row r="28" spans="1:3" s="249" customFormat="1" ht="31.9" customHeight="1" x14ac:dyDescent="0.2">
      <c r="A28" s="250" t="s">
        <v>548</v>
      </c>
      <c r="B28" s="248" t="s">
        <v>1150</v>
      </c>
      <c r="C28" s="248" t="s">
        <v>1282</v>
      </c>
    </row>
    <row r="29" spans="1:3" s="249" customFormat="1" ht="31.9" customHeight="1" x14ac:dyDescent="0.2">
      <c r="A29" s="251" t="s">
        <v>1257</v>
      </c>
      <c r="B29" s="248" t="s">
        <v>1258</v>
      </c>
      <c r="C29" s="248" t="s">
        <v>1198</v>
      </c>
    </row>
    <row r="30" spans="1:3" s="249" customFormat="1" ht="51" x14ac:dyDescent="0.2">
      <c r="A30" s="250" t="s">
        <v>734</v>
      </c>
      <c r="B30" s="248" t="s">
        <v>1151</v>
      </c>
      <c r="C30" s="248" t="s">
        <v>1199</v>
      </c>
    </row>
    <row r="31" spans="1:3" s="249" customFormat="1" ht="12.75" x14ac:dyDescent="0.2">
      <c r="A31" s="250" t="s">
        <v>1153</v>
      </c>
      <c r="B31" s="248" t="s">
        <v>1152</v>
      </c>
      <c r="C31" s="248" t="s">
        <v>1200</v>
      </c>
    </row>
    <row r="32" spans="1:3" s="249" customFormat="1" ht="12.75" x14ac:dyDescent="0.2">
      <c r="A32" s="250" t="s">
        <v>33</v>
      </c>
      <c r="B32" s="248" t="s">
        <v>1154</v>
      </c>
      <c r="C32" s="248" t="s">
        <v>1201</v>
      </c>
    </row>
    <row r="33" spans="1:3" s="249" customFormat="1" ht="102" x14ac:dyDescent="0.2">
      <c r="A33" s="250" t="s">
        <v>111</v>
      </c>
      <c r="B33" s="248" t="s">
        <v>1283</v>
      </c>
      <c r="C33" s="248" t="s">
        <v>1202</v>
      </c>
    </row>
    <row r="34" spans="1:3" s="249" customFormat="1" ht="63.75" x14ac:dyDescent="0.2">
      <c r="A34" s="250" t="s">
        <v>232</v>
      </c>
      <c r="B34" s="248" t="s">
        <v>1284</v>
      </c>
      <c r="C34" s="248" t="s">
        <v>1203</v>
      </c>
    </row>
    <row r="35" spans="1:3" s="249" customFormat="1" ht="63.75" x14ac:dyDescent="0.2">
      <c r="A35" s="251" t="s">
        <v>735</v>
      </c>
      <c r="B35" s="248" t="s">
        <v>1285</v>
      </c>
      <c r="C35" s="248" t="s">
        <v>1204</v>
      </c>
    </row>
    <row r="36" spans="1:3" ht="51" x14ac:dyDescent="0.2">
      <c r="A36" s="250" t="s">
        <v>736</v>
      </c>
      <c r="B36" s="248" t="s">
        <v>1333</v>
      </c>
      <c r="C36" s="248" t="s">
        <v>1334</v>
      </c>
    </row>
    <row r="37" spans="1:3" ht="25.5" x14ac:dyDescent="0.2">
      <c r="A37" s="251" t="s">
        <v>91</v>
      </c>
      <c r="B37" s="248" t="s">
        <v>1155</v>
      </c>
      <c r="C37" s="248" t="s">
        <v>1205</v>
      </c>
    </row>
    <row r="38" spans="1:3" ht="63.75" x14ac:dyDescent="0.2">
      <c r="A38" s="250" t="s">
        <v>234</v>
      </c>
      <c r="B38" s="248" t="s">
        <v>1286</v>
      </c>
      <c r="C38" s="248" t="s">
        <v>1206</v>
      </c>
    </row>
    <row r="39" spans="1:3" ht="54.6" customHeight="1" x14ac:dyDescent="0.2">
      <c r="A39" s="250" t="s">
        <v>737</v>
      </c>
      <c r="B39" s="248" t="s">
        <v>1156</v>
      </c>
      <c r="C39" s="248" t="s">
        <v>1287</v>
      </c>
    </row>
    <row r="40" spans="1:3" ht="22.9" customHeight="1" x14ac:dyDescent="0.2">
      <c r="A40" s="250" t="s">
        <v>90</v>
      </c>
      <c r="B40" s="248" t="s">
        <v>1157</v>
      </c>
      <c r="C40" s="248" t="s">
        <v>1207</v>
      </c>
    </row>
    <row r="41" spans="1:3" ht="22.9" customHeight="1" x14ac:dyDescent="0.2">
      <c r="A41" s="250" t="s">
        <v>89</v>
      </c>
      <c r="B41" s="248" t="s">
        <v>1158</v>
      </c>
      <c r="C41" s="248" t="s">
        <v>1208</v>
      </c>
    </row>
    <row r="42" spans="1:3" ht="14.25" x14ac:dyDescent="0.2">
      <c r="A42" s="250" t="s">
        <v>1288</v>
      </c>
      <c r="B42" s="248"/>
      <c r="C42" s="248"/>
    </row>
    <row r="43" spans="1:3" ht="14.25" x14ac:dyDescent="0.2">
      <c r="A43" s="252" t="s">
        <v>738</v>
      </c>
      <c r="B43" s="248" t="s">
        <v>1290</v>
      </c>
      <c r="C43" s="248" t="s">
        <v>1289</v>
      </c>
    </row>
    <row r="44" spans="1:3" ht="14.25" x14ac:dyDescent="0.2">
      <c r="A44" s="252" t="s">
        <v>739</v>
      </c>
      <c r="B44" s="248" t="s">
        <v>1291</v>
      </c>
      <c r="C44" s="248" t="s">
        <v>1293</v>
      </c>
    </row>
    <row r="45" spans="1:3" ht="14.25" x14ac:dyDescent="0.2">
      <c r="A45" s="252" t="s">
        <v>740</v>
      </c>
      <c r="B45" s="248" t="s">
        <v>1292</v>
      </c>
      <c r="C45" s="248" t="s">
        <v>1294</v>
      </c>
    </row>
    <row r="46" spans="1:3" ht="14.25" x14ac:dyDescent="0.2">
      <c r="A46" s="252" t="s">
        <v>741</v>
      </c>
      <c r="B46" s="248" t="s">
        <v>1159</v>
      </c>
      <c r="C46" s="248" t="s">
        <v>1209</v>
      </c>
    </row>
    <row r="47" spans="1:3" ht="25.5" x14ac:dyDescent="0.2">
      <c r="A47" s="252" t="s">
        <v>742</v>
      </c>
      <c r="B47" s="248" t="s">
        <v>1160</v>
      </c>
      <c r="C47" s="248" t="s">
        <v>1210</v>
      </c>
    </row>
    <row r="48" spans="1:3" ht="25.5" x14ac:dyDescent="0.2">
      <c r="A48" s="252" t="s">
        <v>743</v>
      </c>
      <c r="B48" s="248" t="s">
        <v>1315</v>
      </c>
      <c r="C48" s="248" t="s">
        <v>1316</v>
      </c>
    </row>
    <row r="49" spans="1:3" ht="14.25" x14ac:dyDescent="0.2">
      <c r="A49" s="252" t="s">
        <v>744</v>
      </c>
      <c r="B49" s="248" t="s">
        <v>1161</v>
      </c>
      <c r="C49" s="248" t="s">
        <v>1212</v>
      </c>
    </row>
    <row r="50" spans="1:3" ht="14.25" x14ac:dyDescent="0.2">
      <c r="A50" s="250" t="s">
        <v>1295</v>
      </c>
      <c r="B50" s="248"/>
      <c r="C50" s="248"/>
    </row>
    <row r="51" spans="1:3" ht="14.25" x14ac:dyDescent="0.2">
      <c r="A51" s="252" t="s">
        <v>738</v>
      </c>
      <c r="B51" s="248" t="s">
        <v>1162</v>
      </c>
      <c r="C51" s="248" t="s">
        <v>1213</v>
      </c>
    </row>
    <row r="52" spans="1:3" ht="14.25" x14ac:dyDescent="0.2">
      <c r="A52" s="252" t="s">
        <v>739</v>
      </c>
      <c r="B52" s="248" t="s">
        <v>1163</v>
      </c>
      <c r="C52" s="248" t="s">
        <v>1214</v>
      </c>
    </row>
    <row r="53" spans="1:3" ht="14.25" x14ac:dyDescent="0.2">
      <c r="A53" s="252" t="s">
        <v>740</v>
      </c>
      <c r="B53" s="248" t="s">
        <v>1164</v>
      </c>
      <c r="C53" s="248" t="s">
        <v>1215</v>
      </c>
    </row>
    <row r="54" spans="1:3" ht="14.25" x14ac:dyDescent="0.2">
      <c r="A54" s="252" t="s">
        <v>741</v>
      </c>
      <c r="B54" s="248" t="s">
        <v>1159</v>
      </c>
      <c r="C54" s="248" t="s">
        <v>1209</v>
      </c>
    </row>
    <row r="55" spans="1:3" ht="25.5" x14ac:dyDescent="0.2">
      <c r="A55" s="252" t="s">
        <v>742</v>
      </c>
      <c r="B55" s="248" t="s">
        <v>1165</v>
      </c>
      <c r="C55" s="248" t="s">
        <v>1216</v>
      </c>
    </row>
    <row r="56" spans="1:3" ht="25.5" x14ac:dyDescent="0.2">
      <c r="A56" s="252" t="s">
        <v>743</v>
      </c>
      <c r="B56" s="248" t="s">
        <v>1166</v>
      </c>
      <c r="C56" s="248" t="s">
        <v>1211</v>
      </c>
    </row>
    <row r="57" spans="1:3" ht="14.25" x14ac:dyDescent="0.2">
      <c r="A57" s="252" t="s">
        <v>744</v>
      </c>
      <c r="B57" s="248" t="s">
        <v>1161</v>
      </c>
      <c r="C57" s="248" t="s">
        <v>1212</v>
      </c>
    </row>
    <row r="58" spans="1:3" ht="14.25" x14ac:dyDescent="0.2">
      <c r="A58" s="250" t="s">
        <v>1296</v>
      </c>
      <c r="B58" s="248"/>
      <c r="C58" s="248"/>
    </row>
    <row r="59" spans="1:3" ht="14.25" x14ac:dyDescent="0.2">
      <c r="A59" s="252" t="s">
        <v>738</v>
      </c>
      <c r="B59" s="248" t="s">
        <v>1167</v>
      </c>
      <c r="C59" s="248" t="s">
        <v>1217</v>
      </c>
    </row>
    <row r="60" spans="1:3" ht="14.25" x14ac:dyDescent="0.2">
      <c r="A60" s="252" t="s">
        <v>739</v>
      </c>
      <c r="B60" s="248" t="s">
        <v>1168</v>
      </c>
      <c r="C60" s="248" t="s">
        <v>1218</v>
      </c>
    </row>
    <row r="61" spans="1:3" ht="25.5" x14ac:dyDescent="0.2">
      <c r="A61" s="252" t="s">
        <v>740</v>
      </c>
      <c r="B61" s="248" t="s">
        <v>1169</v>
      </c>
      <c r="C61" s="248" t="s">
        <v>1219</v>
      </c>
    </row>
    <row r="62" spans="1:3" ht="14.25" x14ac:dyDescent="0.2">
      <c r="A62" s="252" t="s">
        <v>741</v>
      </c>
      <c r="B62" s="248" t="s">
        <v>1159</v>
      </c>
      <c r="C62" s="248" t="s">
        <v>1209</v>
      </c>
    </row>
    <row r="63" spans="1:3" ht="25.5" x14ac:dyDescent="0.2">
      <c r="A63" s="252" t="s">
        <v>742</v>
      </c>
      <c r="B63" s="248" t="s">
        <v>1165</v>
      </c>
      <c r="C63" s="248" t="s">
        <v>1216</v>
      </c>
    </row>
    <row r="64" spans="1:3" ht="14.25" x14ac:dyDescent="0.2">
      <c r="A64" s="252" t="s">
        <v>743</v>
      </c>
      <c r="B64" s="248" t="s">
        <v>1170</v>
      </c>
      <c r="C64" s="248" t="s">
        <v>1220</v>
      </c>
    </row>
    <row r="65" spans="1:3" ht="14.25" x14ac:dyDescent="0.2">
      <c r="A65" s="252" t="s">
        <v>744</v>
      </c>
      <c r="B65" s="248" t="s">
        <v>1172</v>
      </c>
      <c r="C65" s="248" t="s">
        <v>1221</v>
      </c>
    </row>
    <row r="66" spans="1:3" ht="14.25" x14ac:dyDescent="0.2">
      <c r="A66" s="250" t="s">
        <v>152</v>
      </c>
      <c r="B66" s="248"/>
      <c r="C66" s="248"/>
    </row>
    <row r="67" spans="1:3" ht="14.25" x14ac:dyDescent="0.2">
      <c r="A67" s="252" t="s">
        <v>738</v>
      </c>
      <c r="B67" s="248" t="s">
        <v>1171</v>
      </c>
      <c r="C67" s="248" t="s">
        <v>1222</v>
      </c>
    </row>
    <row r="68" spans="1:3" ht="14.25" x14ac:dyDescent="0.2">
      <c r="A68" s="252" t="s">
        <v>739</v>
      </c>
      <c r="B68" s="248" t="s">
        <v>1173</v>
      </c>
      <c r="C68" s="248" t="s">
        <v>1223</v>
      </c>
    </row>
    <row r="69" spans="1:3" ht="14.25" x14ac:dyDescent="0.2">
      <c r="A69" s="252" t="s">
        <v>740</v>
      </c>
      <c r="B69" s="248" t="s">
        <v>1174</v>
      </c>
      <c r="C69" s="248" t="s">
        <v>1224</v>
      </c>
    </row>
    <row r="70" spans="1:3" ht="14.25" x14ac:dyDescent="0.2">
      <c r="A70" s="252" t="s">
        <v>741</v>
      </c>
      <c r="B70" s="248" t="s">
        <v>1159</v>
      </c>
      <c r="C70" s="248" t="s">
        <v>1209</v>
      </c>
    </row>
    <row r="71" spans="1:3" ht="25.5" x14ac:dyDescent="0.2">
      <c r="A71" s="252" t="s">
        <v>742</v>
      </c>
      <c r="B71" s="248" t="s">
        <v>1165</v>
      </c>
      <c r="C71" s="248" t="s">
        <v>1216</v>
      </c>
    </row>
    <row r="72" spans="1:3" ht="25.5" x14ac:dyDescent="0.2">
      <c r="A72" s="252" t="s">
        <v>743</v>
      </c>
      <c r="B72" s="248" t="s">
        <v>1166</v>
      </c>
      <c r="C72" s="248" t="s">
        <v>1211</v>
      </c>
    </row>
    <row r="73" spans="1:3" ht="14.25" x14ac:dyDescent="0.2">
      <c r="A73" s="252" t="s">
        <v>744</v>
      </c>
      <c r="B73" s="248" t="s">
        <v>1161</v>
      </c>
      <c r="C73" s="248" t="s">
        <v>1212</v>
      </c>
    </row>
    <row r="74" spans="1:3" ht="14.25" x14ac:dyDescent="0.2">
      <c r="A74" s="250" t="s">
        <v>1297</v>
      </c>
      <c r="B74" s="248"/>
      <c r="C74" s="248"/>
    </row>
    <row r="75" spans="1:3" ht="14.25" x14ac:dyDescent="0.2">
      <c r="A75" s="252" t="s">
        <v>738</v>
      </c>
      <c r="B75" s="248" t="s">
        <v>1175</v>
      </c>
      <c r="C75" s="248" t="s">
        <v>1225</v>
      </c>
    </row>
    <row r="76" spans="1:3" ht="14.25" x14ac:dyDescent="0.2">
      <c r="A76" s="252" t="s">
        <v>739</v>
      </c>
      <c r="B76" s="248" t="s">
        <v>1176</v>
      </c>
      <c r="C76" s="248" t="s">
        <v>1226</v>
      </c>
    </row>
    <row r="77" spans="1:3" ht="14.25" x14ac:dyDescent="0.2">
      <c r="A77" s="252" t="s">
        <v>740</v>
      </c>
      <c r="B77" s="248" t="s">
        <v>1177</v>
      </c>
      <c r="C77" s="248" t="s">
        <v>1227</v>
      </c>
    </row>
    <row r="78" spans="1:3" ht="14.25" x14ac:dyDescent="0.2">
      <c r="A78" s="252" t="s">
        <v>741</v>
      </c>
      <c r="B78" s="248" t="s">
        <v>1159</v>
      </c>
      <c r="C78" s="248" t="s">
        <v>1209</v>
      </c>
    </row>
    <row r="79" spans="1:3" ht="25.5" x14ac:dyDescent="0.2">
      <c r="A79" s="252" t="s">
        <v>742</v>
      </c>
      <c r="B79" s="248" t="s">
        <v>1165</v>
      </c>
      <c r="C79" s="248" t="s">
        <v>1216</v>
      </c>
    </row>
    <row r="80" spans="1:3" ht="14.25" x14ac:dyDescent="0.2">
      <c r="A80" s="252" t="s">
        <v>743</v>
      </c>
      <c r="B80" s="248" t="s">
        <v>1170</v>
      </c>
      <c r="C80" s="248" t="s">
        <v>1220</v>
      </c>
    </row>
    <row r="81" spans="1:3" ht="14.25" x14ac:dyDescent="0.2">
      <c r="A81" s="252" t="s">
        <v>744</v>
      </c>
      <c r="B81" s="248" t="s">
        <v>1178</v>
      </c>
      <c r="C81" s="248" t="s">
        <v>1221</v>
      </c>
    </row>
    <row r="82" spans="1:3" x14ac:dyDescent="0.25">
      <c r="A82" s="253" t="s">
        <v>745</v>
      </c>
      <c r="B82" s="254"/>
      <c r="C82" s="254"/>
    </row>
    <row r="83" spans="1:3" ht="14.25" x14ac:dyDescent="0.2">
      <c r="A83" s="252" t="s">
        <v>793</v>
      </c>
      <c r="B83" s="248" t="s">
        <v>1179</v>
      </c>
      <c r="C83" s="248" t="s">
        <v>1299</v>
      </c>
    </row>
    <row r="84" spans="1:3" ht="14.25" x14ac:dyDescent="0.2">
      <c r="A84" s="252" t="s">
        <v>156</v>
      </c>
      <c r="B84" s="248" t="s">
        <v>1179</v>
      </c>
      <c r="C84" s="248" t="s">
        <v>1300</v>
      </c>
    </row>
    <row r="85" spans="1:3" ht="14.25" x14ac:dyDescent="0.2">
      <c r="A85" s="252" t="s">
        <v>124</v>
      </c>
      <c r="B85" s="248" t="s">
        <v>1180</v>
      </c>
      <c r="C85" s="248" t="s">
        <v>1228</v>
      </c>
    </row>
    <row r="86" spans="1:3" ht="14.25" x14ac:dyDescent="0.2">
      <c r="A86" s="252" t="s">
        <v>746</v>
      </c>
      <c r="B86" s="248" t="s">
        <v>1181</v>
      </c>
      <c r="C86" s="248" t="s">
        <v>1229</v>
      </c>
    </row>
    <row r="87" spans="1:3" ht="14.25" x14ac:dyDescent="0.2">
      <c r="A87" s="252" t="s">
        <v>125</v>
      </c>
      <c r="B87" s="248" t="s">
        <v>1179</v>
      </c>
      <c r="C87" s="248" t="s">
        <v>1300</v>
      </c>
    </row>
    <row r="88" spans="1:3" ht="14.25" x14ac:dyDescent="0.2">
      <c r="A88" s="252" t="s">
        <v>613</v>
      </c>
      <c r="B88" s="248" t="s">
        <v>1182</v>
      </c>
      <c r="C88" s="248" t="s">
        <v>1230</v>
      </c>
    </row>
    <row r="89" spans="1:3" ht="14.25" x14ac:dyDescent="0.2">
      <c r="A89" s="252" t="s">
        <v>127</v>
      </c>
      <c r="B89" s="248" t="s">
        <v>1182</v>
      </c>
      <c r="C89" s="248" t="s">
        <v>1231</v>
      </c>
    </row>
    <row r="90" spans="1:3" ht="14.25" x14ac:dyDescent="0.2">
      <c r="A90" s="252" t="s">
        <v>128</v>
      </c>
      <c r="B90" s="248" t="s">
        <v>1179</v>
      </c>
      <c r="C90" s="248" t="s">
        <v>1300</v>
      </c>
    </row>
    <row r="91" spans="1:3" ht="25.5" x14ac:dyDescent="0.2">
      <c r="A91" s="252" t="s">
        <v>136</v>
      </c>
      <c r="B91" s="248" t="s">
        <v>1183</v>
      </c>
      <c r="C91" s="248" t="s">
        <v>1232</v>
      </c>
    </row>
    <row r="92" spans="1:3" ht="25.5" x14ac:dyDescent="0.2">
      <c r="A92" s="255" t="s">
        <v>747</v>
      </c>
      <c r="B92" s="248" t="s">
        <v>1184</v>
      </c>
      <c r="C92" s="248" t="s">
        <v>1233</v>
      </c>
    </row>
    <row r="93" spans="1:3" ht="14.25" x14ac:dyDescent="0.2">
      <c r="A93" s="252" t="s">
        <v>1298</v>
      </c>
      <c r="B93" s="248" t="s">
        <v>1259</v>
      </c>
      <c r="C93" s="248" t="s">
        <v>1301</v>
      </c>
    </row>
    <row r="94" spans="1:3" ht="25.5" x14ac:dyDescent="0.2">
      <c r="A94" s="255" t="s">
        <v>748</v>
      </c>
      <c r="B94" s="248" t="s">
        <v>1260</v>
      </c>
      <c r="C94" s="248" t="s">
        <v>1302</v>
      </c>
    </row>
    <row r="95" spans="1:3" ht="25.5" x14ac:dyDescent="0.2">
      <c r="A95" s="255" t="s">
        <v>749</v>
      </c>
      <c r="B95" s="248" t="s">
        <v>1261</v>
      </c>
      <c r="C95" s="248" t="s">
        <v>1303</v>
      </c>
    </row>
    <row r="96" spans="1:3" ht="14.25" x14ac:dyDescent="0.2">
      <c r="A96" s="252" t="s">
        <v>750</v>
      </c>
      <c r="B96" s="248" t="s">
        <v>1262</v>
      </c>
      <c r="C96" s="248" t="s">
        <v>1304</v>
      </c>
    </row>
    <row r="97" spans="1:3" ht="25.5" x14ac:dyDescent="0.2">
      <c r="A97" s="252" t="s">
        <v>163</v>
      </c>
      <c r="B97" s="248" t="s">
        <v>1263</v>
      </c>
      <c r="C97" s="248" t="s">
        <v>1305</v>
      </c>
    </row>
    <row r="98" spans="1:3" ht="25.5" x14ac:dyDescent="0.2">
      <c r="A98" s="252" t="s">
        <v>751</v>
      </c>
      <c r="B98" s="248" t="s">
        <v>1264</v>
      </c>
      <c r="C98" s="248" t="s">
        <v>1306</v>
      </c>
    </row>
    <row r="99" spans="1:3" ht="25.5" x14ac:dyDescent="0.2">
      <c r="A99" s="252" t="s">
        <v>752</v>
      </c>
      <c r="B99" s="248" t="s">
        <v>1265</v>
      </c>
      <c r="C99" s="248" t="s">
        <v>1307</v>
      </c>
    </row>
    <row r="100" spans="1:3" ht="14.25" x14ac:dyDescent="0.2">
      <c r="A100" s="252" t="s">
        <v>611</v>
      </c>
      <c r="B100" s="248" t="s">
        <v>753</v>
      </c>
      <c r="C100" s="248" t="s">
        <v>753</v>
      </c>
    </row>
    <row r="101" spans="1:3" ht="14.25" x14ac:dyDescent="0.2">
      <c r="A101" s="252" t="s">
        <v>139</v>
      </c>
      <c r="B101" s="248" t="s">
        <v>1312</v>
      </c>
      <c r="C101" s="248" t="s">
        <v>1311</v>
      </c>
    </row>
    <row r="102" spans="1:3" ht="14.25" x14ac:dyDescent="0.2">
      <c r="A102" s="252" t="s">
        <v>141</v>
      </c>
      <c r="B102" s="248" t="s">
        <v>1185</v>
      </c>
      <c r="C102" s="248" t="s">
        <v>1234</v>
      </c>
    </row>
    <row r="103" spans="1:3" ht="14.25" x14ac:dyDescent="0.2">
      <c r="A103" s="252" t="s">
        <v>166</v>
      </c>
      <c r="B103" s="248" t="s">
        <v>1266</v>
      </c>
      <c r="C103" s="248" t="s">
        <v>1308</v>
      </c>
    </row>
    <row r="104" spans="1:3" ht="30.6" customHeight="1" x14ac:dyDescent="0.2">
      <c r="A104" s="255" t="s">
        <v>167</v>
      </c>
      <c r="B104" s="248" t="s">
        <v>1267</v>
      </c>
      <c r="C104" s="248" t="s">
        <v>1309</v>
      </c>
    </row>
    <row r="105" spans="1:3" ht="15" customHeight="1" x14ac:dyDescent="0.2">
      <c r="A105" s="252" t="s">
        <v>165</v>
      </c>
      <c r="B105" s="248" t="s">
        <v>1268</v>
      </c>
      <c r="C105" s="248" t="s">
        <v>1310</v>
      </c>
    </row>
    <row r="106" spans="1:3" ht="64.900000000000006" customHeight="1" x14ac:dyDescent="0.2">
      <c r="A106" s="255" t="s">
        <v>754</v>
      </c>
      <c r="B106" s="248" t="s">
        <v>755</v>
      </c>
      <c r="C106" s="248" t="s">
        <v>755</v>
      </c>
    </row>
    <row r="107" spans="1:3" ht="38.25" x14ac:dyDescent="0.2">
      <c r="A107" s="252" t="s">
        <v>756</v>
      </c>
      <c r="B107" s="248" t="s">
        <v>757</v>
      </c>
      <c r="C107" s="248" t="s">
        <v>757</v>
      </c>
    </row>
    <row r="108" spans="1:3" ht="51" x14ac:dyDescent="0.2">
      <c r="A108" s="252" t="s">
        <v>758</v>
      </c>
      <c r="B108" s="248" t="s">
        <v>759</v>
      </c>
      <c r="C108" s="248" t="s">
        <v>759</v>
      </c>
    </row>
    <row r="109" spans="1:3" ht="50.45" customHeight="1" x14ac:dyDescent="0.2">
      <c r="A109" s="252" t="s">
        <v>760</v>
      </c>
      <c r="B109" s="248" t="s">
        <v>761</v>
      </c>
      <c r="C109" s="248" t="s">
        <v>761</v>
      </c>
    </row>
    <row r="112" spans="1:3" x14ac:dyDescent="0.25">
      <c r="A112" s="30" t="s">
        <v>762</v>
      </c>
    </row>
    <row r="113" spans="1:3" ht="51" x14ac:dyDescent="0.25">
      <c r="A113" s="256" t="s">
        <v>763</v>
      </c>
      <c r="B113" s="248" t="s">
        <v>1186</v>
      </c>
      <c r="C113" s="248" t="s">
        <v>1235</v>
      </c>
    </row>
  </sheetData>
  <sheetProtection algorithmName="SHA-512" hashValue="S9GWiO+HUJ9F9PJfR8GPXxWLsxRKgyVNbwDbLmKu+rh9pTE+lfUwc01+3fO/myrM1YeW3eS59dJtsr7kb1OKvg==" saltValue="OnZotufzQ2m+RwR7HgzCNA==" spinCount="100000" sheet="1" objects="1" scenarios="1"/>
  <pageMargins left="0.70866141732283472" right="0.70866141732283472" top="0.74803149606299213" bottom="0.74803149606299213" header="0.31496062992125984" footer="0.31496062992125984"/>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0BB8F-9484-498B-8D19-9FA3FE6C750C}">
  <sheetPr codeName="Ark8"/>
  <dimension ref="A1:AY8"/>
  <sheetViews>
    <sheetView workbookViewId="0">
      <selection activeCell="D2" sqref="D2"/>
    </sheetView>
  </sheetViews>
  <sheetFormatPr defaultRowHeight="14.25" x14ac:dyDescent="0.2"/>
  <cols>
    <col min="1" max="1" width="14.75" customWidth="1"/>
    <col min="4" max="4" width="15.625" customWidth="1"/>
    <col min="7" max="7" width="14.125" bestFit="1" customWidth="1"/>
    <col min="12" max="15" width="10.125" bestFit="1" customWidth="1"/>
    <col min="18" max="18" width="14.125" bestFit="1" customWidth="1"/>
  </cols>
  <sheetData>
    <row r="1" spans="1:51" ht="105" x14ac:dyDescent="0.25">
      <c r="A1" s="221" t="s">
        <v>156</v>
      </c>
      <c r="B1" s="221" t="s">
        <v>612</v>
      </c>
      <c r="C1" s="221" t="s">
        <v>124</v>
      </c>
      <c r="D1" s="221" t="s">
        <v>127</v>
      </c>
      <c r="E1" s="221" t="s">
        <v>613</v>
      </c>
      <c r="F1" s="221" t="s">
        <v>614</v>
      </c>
      <c r="G1" s="221" t="s">
        <v>150</v>
      </c>
      <c r="H1" s="221" t="s">
        <v>615</v>
      </c>
      <c r="I1" s="221" t="s">
        <v>616</v>
      </c>
      <c r="J1" s="221" t="s">
        <v>617</v>
      </c>
      <c r="K1" s="221" t="s">
        <v>145</v>
      </c>
      <c r="L1" s="221" t="s">
        <v>618</v>
      </c>
      <c r="M1" s="221" t="s">
        <v>619</v>
      </c>
      <c r="N1" s="221" t="s">
        <v>130</v>
      </c>
      <c r="O1" s="221" t="s">
        <v>147</v>
      </c>
      <c r="P1" s="221" t="s">
        <v>620</v>
      </c>
      <c r="Q1" s="221" t="s">
        <v>621</v>
      </c>
      <c r="R1" s="221" t="s">
        <v>622</v>
      </c>
      <c r="S1" s="221" t="s">
        <v>623</v>
      </c>
      <c r="T1" s="221" t="s">
        <v>624</v>
      </c>
      <c r="U1" s="221" t="s">
        <v>625</v>
      </c>
      <c r="V1" s="221" t="s">
        <v>626</v>
      </c>
      <c r="W1" s="221" t="s">
        <v>627</v>
      </c>
      <c r="X1" s="221" t="s">
        <v>628</v>
      </c>
      <c r="Y1" s="221" t="s">
        <v>629</v>
      </c>
      <c r="Z1" s="221" t="s">
        <v>630</v>
      </c>
      <c r="AA1" s="221" t="s">
        <v>631</v>
      </c>
      <c r="AB1" s="221" t="s">
        <v>632</v>
      </c>
      <c r="AC1" s="221" t="s">
        <v>633</v>
      </c>
      <c r="AD1" s="221" t="s">
        <v>634</v>
      </c>
      <c r="AE1" s="221" t="s">
        <v>635</v>
      </c>
      <c r="AF1" s="221" t="s">
        <v>636</v>
      </c>
      <c r="AG1" s="221" t="s">
        <v>637</v>
      </c>
      <c r="AH1" s="221" t="s">
        <v>638</v>
      </c>
      <c r="AI1" s="221" t="s">
        <v>639</v>
      </c>
      <c r="AJ1" s="221" t="s">
        <v>640</v>
      </c>
      <c r="AK1" s="221" t="s">
        <v>641</v>
      </c>
      <c r="AL1" s="221" t="s">
        <v>642</v>
      </c>
      <c r="AM1" s="221" t="s">
        <v>643</v>
      </c>
      <c r="AN1" s="221" t="s">
        <v>644</v>
      </c>
      <c r="AO1" s="221" t="s">
        <v>645</v>
      </c>
      <c r="AP1" s="221" t="s">
        <v>646</v>
      </c>
      <c r="AQ1" s="221" t="s">
        <v>647</v>
      </c>
      <c r="AR1" s="221" t="s">
        <v>648</v>
      </c>
      <c r="AS1" s="221" t="s">
        <v>649</v>
      </c>
      <c r="AT1" s="221" t="s">
        <v>650</v>
      </c>
      <c r="AU1" s="221" t="s">
        <v>651</v>
      </c>
      <c r="AV1" s="221" t="s">
        <v>652</v>
      </c>
      <c r="AW1" s="221" t="s">
        <v>149</v>
      </c>
      <c r="AX1" s="221" t="s">
        <v>653</v>
      </c>
      <c r="AY1" s="221" t="s">
        <v>148</v>
      </c>
    </row>
    <row r="2" spans="1:51" x14ac:dyDescent="0.2">
      <c r="A2" t="str">
        <f>IF('Cover letter'!I3 &lt;&gt; 0,
VLOOKUP('Cover letter ING'!E3,Lister!A3:B16,2,FALSE),
VLOOKUP('Cover letter'!E3,Lister!A4:B16,2,FALSE))</f>
        <v>Department of Electrical and Computer Engineering</v>
      </c>
      <c r="B2">
        <f>IF(ISBLANK('Cover letter'!I3),'Cover letter ING'!I3,'Cover letter'!I3)</f>
        <v>0</v>
      </c>
      <c r="C2">
        <f>IF(ISBLANK('Cover letter'!I3),'Cover letter ING'!G3,'Cover letter'!G3)</f>
        <v>0</v>
      </c>
      <c r="D2" t="str">
        <f>IF(ISBLANK('Cover letter'!$I$3),'Cover letter ING'!K6,'Cover letter'!K6)</f>
        <v/>
      </c>
      <c r="E2" t="str">
        <f>IF(ISBLANK('Cover letter'!$I$3),'Cover letter ING'!K5,'Cover letter'!K5)</f>
        <v/>
      </c>
      <c r="F2" t="str">
        <f>IF(ISBLANK('Cover letter'!$I$3),'Cover letter ING'!C4,'Cover letter'!C4)</f>
        <v>EU Horizon RIA ECE PhD Example</v>
      </c>
      <c r="G2">
        <f>IF(ISBLANK('Cover letter'!$I$3),_xlfn.XLOOKUP('Cover letter ING'!H33,Economists!B:B,Economists!A:A),_xlfn.XLOOKUP('Cover letter'!H31,Economists!B:B,Economists!A:A))</f>
        <v>0</v>
      </c>
      <c r="H2" t="str">
        <f>IF('B1'!C12="","TFV","IV")</f>
        <v>TFV</v>
      </c>
      <c r="I2">
        <f>IF(ISBLANK('Cover letter'!$I$3),'Cover letter ING'!C7,'Cover letter'!C7)</f>
        <v>0</v>
      </c>
      <c r="K2" t="s">
        <v>146</v>
      </c>
      <c r="L2" s="101">
        <f>IF(ISBLANK('Cover letter'!$I$3),'Cover letter ING'!C11,'Cover letter'!C11)</f>
        <v>0</v>
      </c>
      <c r="M2" s="101">
        <f>IF(ISBLANK('Cover letter'!$I$3),'Cover letter ING'!F11,'Cover letter'!F11)</f>
        <v>0</v>
      </c>
      <c r="N2" s="101">
        <f>IF(ISBLANK('Cover letter'!$I$3),'Cover letter ING'!C10,'Cover letter'!C10)</f>
        <v>0</v>
      </c>
      <c r="O2" s="101">
        <f>IF(ISBLANK('Cover letter'!$I$3),'Cover letter ING'!F10,'Cover letter'!F10)</f>
        <v>0</v>
      </c>
      <c r="P2">
        <f>IF(ISBLANK('Cover letter'!$I$3),'Cover letter ING'!D18,'Cover letter'!D18)</f>
        <v>0</v>
      </c>
      <c r="Q2">
        <f>IF(ISBLANK('Cover letter'!$I$3),'Cover letter ING'!D19,'Cover letter'!D19)</f>
        <v>4901750</v>
      </c>
      <c r="R2" t="str">
        <f xml:space="preserve">
IF(
IF('Cover letter'!E3='B1'!C2,'B1'!S79,0)+
IF('Cover letter'!E3='B2'!C2,'B2'!S79,0)+
IF('Cover letter'!E3='B3'!C2,'B3'!S79,0)+
IF('Cover letter'!E3='B4'!C2,'B4'!S79,0)+
IF('Cover letter'!E3='B5'!C2,'B5'!S79,0)
= 0, "",
IF('Cover letter'!E3='B1'!C2,'B1'!S79,0)+
IF('Cover letter'!E3='B2'!C2,'B2'!S79,0)+
IF('Cover letter'!E3='B3'!C2,'B3'!S79,0)+
IF('Cover letter'!E3='B4'!C2,'B4'!S79,0)+
IF('Cover letter'!E3='B5'!C2,'B5'!S79,0))</f>
        <v/>
      </c>
      <c r="S2">
        <f xml:space="preserve">
IF(
IF('Cover letter'!E3='B1'!C2,'B1'!T79,0)+
IF('Cover letter'!E3='B2'!C2,'B2'!T79,0)+
IF('Cover letter'!E3='B3'!C2,'B3'!T79,0)+
IF('Cover letter'!E3='B4'!C2,'B4'!T79,0)+
IF('Cover letter'!E3='B5'!C2,'B5'!T79,0)
= 0, "",
IF('Cover letter'!E3='B1'!C2,'B1'!T79,0)+
IF('Cover letter'!E3='B2'!C2,'B2'!T79,0)+
IF('Cover letter'!E3='B3'!C2,'B3'!T79,0)+
IF('Cover letter'!E3='B4'!C2,'B4'!T79,0)+
IF('Cover letter'!E3='B5'!C2,'B5'!T79,0))</f>
        <v>1345250</v>
      </c>
      <c r="T2">
        <f xml:space="preserve">
IF(
IF('Cover letter'!E3='B1'!C2,'B1'!U79,0)+
IF('Cover letter'!E3='B2'!C2,'B2'!U79,0)+
IF('Cover letter'!E3='B3'!C2,'B3'!U79,0)+
IF('Cover letter'!E3='B4'!C2,'B4'!U79,0)+
IF('Cover letter'!E3='B5'!C2,'B5'!U79,0)
= 0, "",
IF('Cover letter'!E3='B1'!C2,'B1'!U79,0)+
IF('Cover letter'!E3='B2'!C2,'B2'!U79,0)+
IF('Cover letter'!E3='B3'!C2,'B3'!U79,0)+
IF('Cover letter'!E3='B4'!C2,'B4'!U79,0)+
IF('Cover letter'!E3='B5'!C2,'B5'!U79,0))</f>
        <v>1405875</v>
      </c>
      <c r="U2">
        <f xml:space="preserve">
IF(
IF('Cover letter'!E3='B1'!C2,'B1'!V79,0)+
IF('Cover letter'!E3='B2'!C2,'B2'!V79,0)+
IF('Cover letter'!E3='B3'!C2,'B3'!V79,0)+
IF('Cover letter'!E3='B4'!C2,'B4'!V79,0)+
IF('Cover letter'!E3='B5'!C2,'B5'!V79,0)
= 0, "",
IF('Cover letter'!E3='B1'!C2,'B1'!V79,0)+
IF('Cover letter'!E3='B2'!C2,'B2'!V79,0)+
IF('Cover letter'!E3='B3'!C2,'B3'!V79,0)+
IF('Cover letter'!E3='B4'!C2,'B4'!V79,0)+
IF('Cover letter'!E3='B5'!C2,'B5'!V79,0))</f>
        <v>1418750</v>
      </c>
      <c r="V2">
        <f xml:space="preserve">
IF(
IF('Cover letter'!E3='B1'!C2,'B1'!W79,0)+
IF('Cover letter'!E3='B2'!C2,'B2'!W79,0)+
IF('Cover letter'!E3='B3'!C2,'B3'!W79,0)+
IF('Cover letter'!E3='B4'!C2,'B4'!W79,0)+
IF('Cover letter'!E3='B5'!C2,'B5'!W79,0)
= 0, "",
IF('Cover letter'!E3='B1'!C2,'B1'!W79,0)+
IF('Cover letter'!E3='B2'!C2,'B2'!W79,0)+
IF('Cover letter'!E3='B3'!C2,'B3'!W79,0)+
IF('Cover letter'!E3='B4'!C2,'B4'!W79,0)+
IF('Cover letter'!E3='B5'!C2,'B5'!W79,0))</f>
        <v>731875</v>
      </c>
      <c r="W2" t="str">
        <f xml:space="preserve">
IF(
IF('Cover letter'!E3='B1'!C2,'B1'!X79,0) +
IF('Cover letter'!E3='B2'!C2,'B2'!X79,0) +
IF('Cover letter'!E3='B3'!C2,'B3'!X79,0) +
IF('Cover letter'!E3='B4'!C2,'B4'!X79,0) +
IF('Cover letter'!E3='B5'!C2,'B5'!X79,0)
= 0, "",
IF('Cover letter'!E3='B1'!C2,'B1'!X79,0) +
IF('Cover letter'!E3='B2'!C2,'B2'!X79,0) +
IF('Cover letter'!E3='B3'!C2,'B3'!X79,0) +
IF('Cover letter'!E3='B4'!C2,'B4'!X79,0) +
IF('Cover letter'!E3='B5'!C2,'B5'!X79,0))</f>
        <v/>
      </c>
      <c r="X2" t="str">
        <f xml:space="preserve">
IF(
IF('Cover letter'!E3='B1'!C2,'B1'!Y79,0) +
IF('Cover letter'!E3='B2'!C2,'B2'!Y79,0) +
IF('Cover letter'!E3='B3'!C2,'B3'!Y79,0) +
IF('Cover letter'!E3='B4'!C2,'B4'!Y79,0) +
IF('Cover letter'!E3='B5'!C2,'B5'!Y79,0)
= 0, "",
IF('Cover letter'!E3='B1'!C2,'B1'!Y79,0) +
IF('Cover letter'!E3='B2'!C2,'B2'!Y79,0) +
IF('Cover letter'!E3='B3'!C2,'B3'!Y79,0) +
IF('Cover letter'!E3='B4'!C2,'B4'!Y79,0) +
IF('Cover letter'!E3='B5'!C2,'B5'!Y79,0))</f>
        <v/>
      </c>
      <c r="Y2" t="str">
        <f xml:space="preserve">
IF(
IF('Cover letter'!E3='B1'!C2,'B1'!Z79,0) +
IF('Cover letter'!E3='B2'!C2,'B2'!Z79,0) +
IF('Cover letter'!E3='B3'!C2,'B3'!Z79,0) +
IF('Cover letter'!E3='B4'!C2,'B4'!Z79,0) +
IF('Cover letter'!E3='B5'!C2,'B5'!Z79,0)
= 0, "",
IF('Cover letter'!E3='B1'!C2,'B1'!Z79,0) +
IF('Cover letter'!E3='B2'!C2,'B2'!Z79,0) +
IF('Cover letter'!E3='B3'!C2,'B3'!Z79,0) +
IF('Cover letter'!E3='B4'!C2,'B4'!Z79,0) +
IF('Cover letter'!E3='B5'!C2,'B5'!Z79,0))</f>
        <v/>
      </c>
      <c r="Z2" t="str">
        <f xml:space="preserve">
IF(
IF('Cover letter'!E3='B1'!C2,'B1'!AA79,0) +
IF('Cover letter'!E3='B2'!C2,'B2'!AA79,0) +
IF('Cover letter'!E3='B3'!C2,'B3'!AA79,0) +
IF('Cover letter'!E3='B4'!C2,'B4'!AA79,0) +
IF('Cover letter'!E3='B5'!C2,'B5'!AA79,0)
= 0, "",
IF('Cover letter'!E3='B1'!C2,'B1'!AA79,0) +
IF('Cover letter'!E3='B2'!C2,'B2'!AA79,0) +
IF('Cover letter'!E3='B3'!C2,'B3'!AA79,0) +
IF('Cover letter'!E3='B4'!C2,'B4'!AA79,0) +
IF('Cover letter'!E3='B5'!C2,'B5'!AA79,0))</f>
        <v/>
      </c>
      <c r="AA2" t="str">
        <f xml:space="preserve">
IF(
IF('Cover letter'!E3='B1'!C2,'B1'!AB79,0) +
IF('Cover letter'!E3='B2'!C2,'B2'!AB79,0) +
IF('Cover letter'!E3='B3'!C2,'B3'!AB79,0) +
IF('Cover letter'!E3='B4'!C2,'B4'!AB79,0) +
IF('Cover letter'!E3='B5'!C2,'B5'!AB79,0)
= 0, "",
IF('Cover letter'!E3='B1'!C2,'B1'!AB79,0) +
IF('Cover letter'!E3='B2'!C2,'B2'!AB79,0) +
IF('Cover letter'!E3='B3'!C2,'B3'!AB79,0) +
IF('Cover letter'!E3='B4'!C2,'B4'!AB79,0) +
IF('Cover letter'!E3='B5'!C2,'B5'!AB79,0))</f>
        <v/>
      </c>
      <c r="AB2" t="str">
        <f xml:space="preserve">
IF(
IF('Cover letter'!E3='B1'!C2,'B1'!S107,0)+
IF('Cover letter'!E3='B2'!C2,'B2'!S107,0)+
IF('Cover letter'!E3='B3'!C2,'B3'!S107,0)+
IF('Cover letter'!E3='B4'!C2,'B4'!S107,0)+
IF('Cover letter'!E3='B5'!C2,'B5'!S107,0)
= 0, "",
IF('Cover letter'!E3='B1'!C2,'B1'!S107,0)+
IF('Cover letter'!E3='B2'!C2,'B2'!S107,0)+
IF('Cover letter'!E3='B3'!C2,'B3'!S107,0)+
IF('Cover letter'!E3='B4'!C2,'B4'!S107,0)+
IF('Cover letter'!E3='B5'!C2,'B5'!S107,0))</f>
        <v/>
      </c>
      <c r="AC2">
        <f xml:space="preserve">
IF(
IF('Cover letter'!E3='B1'!C2,'B1'!T107,0)+
IF('Cover letter'!E3='B2'!C2,'B2'!T107,0)+
IF('Cover letter'!E3='B3'!C2,'B3'!T107,0)+
IF('Cover letter'!E3='B4'!C2,'B4'!T107,0)+
IF('Cover letter'!E3='B5'!C2,'B5'!T107,0)
= 0, "",
IF('Cover letter'!E3='B1'!C2,'B1'!T107,0)+
IF('Cover letter'!E3='B2'!C2,'B2'!T107,0)+
IF('Cover letter'!E3='B3'!C2,'B3'!T107,0)+
IF('Cover letter'!E3='B4'!C2,'B4'!T107,0)+
IF('Cover letter'!E3='B5'!C2,'B5'!T107,0))</f>
        <v>483000</v>
      </c>
      <c r="AD2">
        <f xml:space="preserve">
IF(
IF('Cover letter'!E3='B1'!C2,'B1'!U107,0)+
IF('Cover letter'!E3='B2'!C2,'B2'!U107,0)+
IF('Cover letter'!E3='B3'!C2,'B3'!U107,0)+
IF('Cover letter'!E3='B4'!C2,'B4'!U107,0)+
IF('Cover letter'!E3='B5'!C2,'B5'!U107,0)
= 0, "",
IF('Cover letter'!E3='B1'!C2,'B1'!U107,0)+
IF('Cover letter'!E3='B2'!C2,'B2'!U107,0)+
IF('Cover letter'!E3='B3'!C2,'B3'!U107,0)+
IF('Cover letter'!E3='B4'!C2,'B4'!U107,0)+
IF('Cover letter'!E3='B5'!C2,'B5'!U107,0))</f>
        <v>497625</v>
      </c>
      <c r="AE2">
        <f xml:space="preserve">
IF(
IF('Cover letter'!E3='B1'!C2,'B1'!V107,0)+
IF('Cover letter'!E3='B2'!C2,'B2'!V107,0)+
IF('Cover letter'!E3='B3'!C2,'B3'!V107,0)+
IF('Cover letter'!E3='B4'!C2,'B4'!V107,0)+
IF('Cover letter'!E3='B5'!C2,'B5'!V107,0)
= 0, "",
IF('Cover letter'!E3='B1'!C2,'B1'!V107,0)+
IF('Cover letter'!E3='B2'!C2,'B2'!V107,0)+
IF('Cover letter'!E3='B3'!C2,'B3'!V107,0)+
IF('Cover letter'!E3='B4'!C2,'B4'!V107,0)+
IF('Cover letter'!E3='B5'!C2,'B5'!V107,0))</f>
        <v>513000</v>
      </c>
      <c r="AF2">
        <f xml:space="preserve">
IF(
IF('Cover letter'!E3='B1'!C2,'B1'!W107,0)+
IF('Cover letter'!E3='B2'!C2,'B2'!W107,0)+
IF('Cover letter'!E3='B3'!C2,'B3'!W107,0)+
IF('Cover letter'!E3='B4'!C2,'B4'!W107,0)+
IF('Cover letter'!E3='B5'!C2,'B5'!W107,0)
= 0, "",
IF('Cover letter'!E3='B1'!C2,'B1'!W107,0)+
IF('Cover letter'!E3='B2'!C2,'B2'!W107,0)+
IF('Cover letter'!E3='B3'!C2,'B3'!W107,0)+
IF('Cover letter'!E3='B4'!C2,'B4'!W107,0)+
IF('Cover letter'!E3='B5'!C2,'B5'!W107,0))</f>
        <v>528750</v>
      </c>
      <c r="AG2" t="str">
        <f xml:space="preserve">
IF(
IF('Cover letter'!E3='B1'!C2,'B1'!X107,0)+
IF('Cover letter'!E3='B2'!C2,'B2'!X107,0)+
IF('Cover letter'!E3='B3'!C2,'B3'!X107,0)+
IF('Cover letter'!E3='B4'!C2,'B4'!X107,0)+
IF('Cover letter'!E3='B5'!C2,'B5'!X107,0)
= 0, "",
IF('Cover letter'!E3='B1'!C2,'B1'!X107,0)+
IF('Cover letter'!E3='B2'!C2,'B2'!X107,0)+
IF('Cover letter'!E3='B3'!C2,'B3'!X107,0)+
IF('Cover letter'!E3='B4'!C2,'B4'!X107,0)+
IF('Cover letter'!E3='B5'!C2,'B5'!X107,0))</f>
        <v/>
      </c>
      <c r="AH2" t="str">
        <f xml:space="preserve">
IF(
IF('Cover letter'!E3='B1'!C2,'B1'!Y107,0)+
IF('Cover letter'!E3='B2'!C2,'B2'!Y107,0)+
IF('Cover letter'!E3='B3'!C2,'B3'!Y107,0)+
IF('Cover letter'!E3='B4'!C2,'B4'!Y107,0)+
IF('Cover letter'!E3='B5'!C2,'B5'!Y107,0)
= 0, "",
IF('Cover letter'!E3='B1'!C2,'B1'!Y107,0)+
IF('Cover letter'!E3='B2'!C2,'B2'!Y107,0)+
IF('Cover letter'!E3='B3'!C2,'B3'!Y107,0)+
IF('Cover letter'!E3='B4'!C2,'B4'!Y107,0)+
IF('Cover letter'!E3='B5'!C2,'B5'!Y107,0))</f>
        <v/>
      </c>
      <c r="AI2" t="str">
        <f xml:space="preserve">
IF(
IF('Cover letter'!E3='B1'!C2,'B1'!Z107,0)+
IF('Cover letter'!E3='B2'!C2,'B2'!Z107,0)+
IF('Cover letter'!E3='B3'!C2,'B3'!Z107,0)+
IF('Cover letter'!E3='B4'!C2,'B4'!Z107,0)+
IF('Cover letter'!E3='B5'!C2,'B5'!Z107,0)
= 0, "",
IF('Cover letter'!E3='B1'!C2,'B1'!Z107,0)+
IF('Cover letter'!E3='B2'!C2,'B2'!Z107,0)+
IF('Cover letter'!E3='B3'!C2,'B3'!Z107,0)+
IF('Cover letter'!E3='B4'!C2,'B4'!Z107,0)+
IF('Cover letter'!E3='B5'!C2,'B5'!Z107,0))</f>
        <v/>
      </c>
      <c r="AJ2" t="str">
        <f xml:space="preserve">
IF(
IF('Cover letter'!E3='B1'!C2,'B1'!AA107,0)+
IF('Cover letter'!E3='B2'!C2,'B2'!AA107,0)+
IF('Cover letter'!E3='B3'!C2,'B3'!AA107,0)+
IF('Cover letter'!E3='B4'!C2,'B4'!AA107,0)+
IF('Cover letter'!E3='B5'!C2,'B5'!AA107,0)
= 0, "",
IF('Cover letter'!E3='B1'!C2,'B1'!AA107,0)+
IF('Cover letter'!E3='B2'!C2,'B2'!AA107,0)+
IF('Cover letter'!E3='B3'!C2,'B3'!AA107,0)+
IF('Cover letter'!E3='B4'!C2,'B4'!AA107,0)+
IF('Cover letter'!E3='B5'!C2,'B5'!AA107,0))</f>
        <v/>
      </c>
      <c r="AK2" t="str">
        <f xml:space="preserve">
IF(
IF('Cover letter'!E3='B1'!C2,'B1'!AB107,0)+
IF('Cover letter'!E3='B2'!C2,'B2'!AB107,0)+
IF('Cover letter'!E3='B3'!C2,'B3'!AB107,0)+
IF('Cover letter'!E3='B4'!C2,'B4'!AB107,0)+
IF('Cover letter'!E3='B5'!C2,'B5'!AB107,0)
= 0, "",
IF('Cover letter'!E3='B1'!C2,'B1'!AB107,0)+
IF('Cover letter'!E3='B2'!C2,'B2'!AB107,0)+
IF('Cover letter'!E3='B3'!C2,'B3'!AB107,0)+
IF('Cover letter'!E3='B4'!C2,'B4'!AB107,0)+
IF('Cover letter'!E3='B5'!C2,'B5'!AB107,0))</f>
        <v/>
      </c>
      <c r="AL2" t="str">
        <f xml:space="preserve">
IF(
IF('Cover letter'!E3='B1'!C2,'B1'!S93,0)+
IF('Cover letter'!E3='B2'!C2,'B2'!S93,0)+
IF('Cover letter'!E3='B3'!C2,'B3'!S93,0)+
IF('Cover letter'!E3='B4'!C2,'B4'!S93,0)+
IF('Cover letter'!E3='B5'!C2,'B5'!S93,0)
= 0, "",
IF('Cover letter'!E3='B1'!C2,'B1'!S93,0)+
IF('Cover letter'!E3='B2'!C2,'B2'!S93,0)+
IF('Cover letter'!E3='B3'!C2,'B3'!S93,0)+
IF('Cover letter'!E3='B4'!C2,'B4'!S93,0)+
IF('Cover letter'!E3='B5'!C2,'B5'!S93,0))</f>
        <v/>
      </c>
      <c r="AM2" t="str">
        <f xml:space="preserve">
IF(
IF('Cover letter'!E3='B1'!C2,'B1'!T93,0)+
IF('Cover letter'!E3='B2'!C2,'B2'!T93,0)+
IF('Cover letter'!E3='B3'!C2,'B3'!T93,0)+
IF('Cover letter'!E3='B4'!C2,'B4'!T93,0)+
IF('Cover letter'!E3='B5'!C2,'B5'!T93,0)
= 0, "",
IF('Cover letter'!E3='B1'!C2,'B1'!T93,0)+
IF('Cover letter'!E3='B2'!C2,'B2'!T93,0)+
IF('Cover letter'!E3='B3'!C2,'B3'!T93,0)+
IF('Cover letter'!E3='B4'!C2,'B4'!T93,0)+
IF('Cover letter'!E3='B5'!C2,'B5'!T93,0))</f>
        <v/>
      </c>
      <c r="AN2" t="str">
        <f xml:space="preserve">
IF(
IF('Cover letter'!E3='B1'!C2,'B1'!U93,0)+
IF('Cover letter'!E3='B2'!C2,'B2'!U93,0)+
IF('Cover letter'!E3='B3'!C2,'B3'!U93,0)+
IF('Cover letter'!E3='B4'!C2,'B4'!U93,0)+
IF('Cover letter'!E3='B5'!C2,'B5'!U93,0)
= 0, "",
IF('Cover letter'!E3='B1'!C2,'B1'!U93,0)+
IF('Cover letter'!E3='B2'!C2,'B2'!U93,0)+
IF('Cover letter'!E3='B3'!C2,'B3'!U93,0)+
IF('Cover letter'!E3='B4'!C2,'B4'!U93,0)+
IF('Cover letter'!E3='B5'!C2,'B5'!U93,0))</f>
        <v/>
      </c>
      <c r="AO2" t="str">
        <f xml:space="preserve">
IF(
IF('Cover letter'!E3='B1'!C2,'B1'!V93,0)+
IF('Cover letter'!E3='B2'!C2,'B2'!V93,0)+
IF('Cover letter'!E3='B3'!C2,'B3'!V93,0)+
IF('Cover letter'!E3='B4'!C2,'B4'!V93,0)+
IF('Cover letter'!E3='B5'!C2,'B5'!V93,0)
= 0, "",
IF('Cover letter'!E3='B1'!C2,'B1'!V93,0)+
IF('Cover letter'!E3='B2'!C2,'B2'!V93,0)+
IF('Cover letter'!E3='B3'!C2,'B3'!V93,0)+
IF('Cover letter'!E3='B4'!C2,'B4'!V93,0)+
IF('Cover letter'!E3='B5'!C2,'B5'!V93,0))</f>
        <v/>
      </c>
      <c r="AP2" t="str">
        <f xml:space="preserve">
IF(
IF('Cover letter'!E3='B1'!C2,'B1'!W93,0)+
IF('Cover letter'!E3='B2'!C2,'B2'!W93,0)+
IF('Cover letter'!E3='B3'!C2,'B3'!W93,0)+
IF('Cover letter'!E3='B4'!C2,'B4'!W93,0)+
IF('Cover letter'!E3='B5'!C2,'B5'!W93,0)
= 0, "",
IF('Cover letter'!E3='B1'!C2,'B1'!W93,0)+
IF('Cover letter'!E3='B2'!C2,'B2'!W93,0)+
IF('Cover letter'!E3='B3'!C2,'B3'!W93,0)+
IF('Cover letter'!E3='B4'!C2,'B4'!W93,0)+
IF('Cover letter'!E3='B5'!C2,'B5'!W93,0))</f>
        <v/>
      </c>
      <c r="AQ2" t="str">
        <f xml:space="preserve">
IF(
IF('Cover letter'!E3='B1'!C2,'B1'!X93,0)+
IF('Cover letter'!E3='B2'!C2,'B2'!X93,0)+
IF('Cover letter'!E3='B3'!C2,'B3'!X93,0)+
IF('Cover letter'!E3='B4'!C2,'B4'!X93,0)+
IF('Cover letter'!E3='B5'!C2,'B5'!X93,0)
= 0, "",
IF('Cover letter'!E3='B1'!C2,'B1'!X93,0)+
IF('Cover letter'!E3='B2'!C2,'B2'!X93,0)+
IF('Cover letter'!E3='B3'!C2,'B3'!X93,0)+
IF('Cover letter'!E3='B4'!C2,'B4'!X93,0)+
IF('Cover letter'!E3='B5'!C2,'B5'!X93,0))</f>
        <v/>
      </c>
      <c r="AR2" t="str">
        <f xml:space="preserve">
IF(
IF('Cover letter'!E3='B1'!C2,'B1'!Y93,0)+
IF('Cover letter'!E3='B2'!C2,'B2'!Y93,0)+
IF('Cover letter'!E3='B3'!C2,'B3'!Y93,0)+
IF('Cover letter'!E3='B4'!C2,'B4'!Y93,0)+
IF('Cover letter'!E3='B5'!C2,'B5'!Y93,0)
=0,"",
IF('Cover letter'!E3='B1'!C2,'B1'!Y93,0)+
IF('Cover letter'!E3='B2'!C2,'B2'!Y93,0)+
IF('Cover letter'!E3='B3'!C2,'B3'!Y93,0)+
IF('Cover letter'!E3='B4'!C2,'B4'!Y93,0)+
IF('Cover letter'!E3='B5'!C2,'B5'!Y93,0))</f>
        <v/>
      </c>
      <c r="AS2" t="str">
        <f xml:space="preserve">
IF(
IF('Cover letter'!E3='B1'!C2,'B1'!Z93,0)+
IF('Cover letter'!E3='B2'!C2,'B2'!Z93,0)+
IF('Cover letter'!E3='B3'!C2,'B3'!Z93,0)+
IF('Cover letter'!E3='B4'!C2,'B4'!Z93,0)+
IF('Cover letter'!E3='B5'!C2,'B5'!Z93,0)
=0,"",
IF('Cover letter'!E3='B1'!C2,'B1'!Z93,0)+
IF('Cover letter'!E3='B2'!C2,'B2'!Z93,0)+
IF('Cover letter'!E3='B3'!C2,'B3'!Z93,0)+
IF('Cover letter'!E3='B4'!C2,'B4'!Z93,0)+
IF('Cover letter'!E3='B5'!C2,'B5'!Z93,0))</f>
        <v/>
      </c>
      <c r="AT2" t="str">
        <f xml:space="preserve">
IF(
IF('Cover letter'!E3='B1'!C2,'B1'!AA93,0)+
IF('Cover letter'!E3='B2'!C2,'B2'!AA93,0)+
IF('Cover letter'!E3='B3'!C2,'B3'!AA93,0)+
IF('Cover letter'!E3='B4'!C2,'B4'!AA93,0)+
IF('Cover letter'!E3='B5'!C2,'B5'!AA93,0)
= 0,"",
IF('Cover letter'!E3='B1'!C2,'B1'!AA93,0)+
IF('Cover letter'!E3='B2'!C2,'B2'!AA93,0)+
IF('Cover letter'!E3='B3'!C2,'B3'!AA93,0)+
IF('Cover letter'!E3='B4'!C2,'B4'!AA93,0)+
IF('Cover letter'!E3='B5'!C2,'B5'!AA93,0))</f>
        <v/>
      </c>
      <c r="AU2" t="str">
        <f xml:space="preserve">
IF(
IF('Cover letter'!E3='B1'!C2,'B1'!AB93,0)+
IF('Cover letter'!E3='B2'!C2,'B2'!AB93,0)+
IF('Cover letter'!E3='B3'!C2,'B3'!AB93,0)+
IF('Cover letter'!E3='B4'!C2,'B4'!AB93,0)+
IF('Cover letter'!E3='B5'!C2,'B5'!AB93,0)
= 0, "",
IF('Cover letter'!E3='B1'!C2,'B1'!AB93,0)+
IF('Cover letter'!E3='B2'!C2,'B2'!AB93,0)+
IF('Cover letter'!E3='B3'!C2,'B3'!AB93,0)+
IF('Cover letter'!E3='B4'!C2,'B4'!AB93,0)+
IF('Cover letter'!E3='B5'!C2,'B5'!AB93,0))</f>
        <v/>
      </c>
      <c r="AV2">
        <f xml:space="preserve">
IF(
  IF('B1'!C6="","",'B1'!C6) = 0,
  "",
  IF('B1'!C6="","",'B1'!C6))</f>
        <v>25</v>
      </c>
      <c r="AX2" t="s">
        <v>655</v>
      </c>
      <c r="AY2">
        <f>IF(ISBLANK('Cover letter'!$I$3),'Cover letter ING'!D17,'Cover letter'!D17)</f>
        <v>0</v>
      </c>
    </row>
    <row r="5" spans="1:51" x14ac:dyDescent="0.2">
      <c r="A5" s="1"/>
    </row>
    <row r="6" spans="1:51" x14ac:dyDescent="0.2">
      <c r="A6" s="222"/>
    </row>
    <row r="7" spans="1:51" x14ac:dyDescent="0.2">
      <c r="A7" s="222"/>
    </row>
    <row r="8" spans="1:51" x14ac:dyDescent="0.2">
      <c r="A8" s="2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9174-6915-491E-AD42-153BF1B2C929}">
  <sheetPr codeName="Ark12">
    <tabColor theme="6" tint="0.59999389629810485"/>
    <pageSetUpPr fitToPage="1"/>
  </sheetPr>
  <dimension ref="B1:K61"/>
  <sheetViews>
    <sheetView tabSelected="1" topLeftCell="A9" zoomScale="85" zoomScaleNormal="85" workbookViewId="0">
      <selection activeCell="D32" sqref="D32:E32"/>
    </sheetView>
  </sheetViews>
  <sheetFormatPr defaultRowHeight="14.25" x14ac:dyDescent="0.2"/>
  <cols>
    <col min="2" max="2" width="29.25" customWidth="1"/>
    <col min="3" max="3" width="19.5" customWidth="1"/>
    <col min="4" max="4" width="13.25" customWidth="1"/>
    <col min="5" max="5" width="13.875" customWidth="1"/>
    <col min="6" max="6" width="28.625" customWidth="1"/>
    <col min="7" max="8" width="17.75" customWidth="1"/>
    <col min="9" max="9" width="20.75" customWidth="1"/>
    <col min="10" max="10" width="40.625" customWidth="1"/>
    <col min="11" max="11" width="0" hidden="1" customWidth="1"/>
  </cols>
  <sheetData>
    <row r="1" spans="2:11" ht="24.75" x14ac:dyDescent="0.2">
      <c r="B1" s="412"/>
      <c r="C1" s="412"/>
      <c r="D1" s="412"/>
      <c r="E1" s="412"/>
      <c r="F1" s="412"/>
      <c r="G1" s="412"/>
      <c r="H1" s="412"/>
      <c r="I1" s="412"/>
    </row>
    <row r="2" spans="2:11" ht="53.45" customHeight="1" thickBot="1" x14ac:dyDescent="0.25">
      <c r="B2" s="413" t="s">
        <v>610</v>
      </c>
      <c r="C2" s="414"/>
      <c r="D2" s="414"/>
      <c r="E2" s="414"/>
      <c r="F2" s="414"/>
      <c r="G2" s="414"/>
      <c r="H2" s="414"/>
      <c r="I2" s="414"/>
    </row>
    <row r="3" spans="2:11" ht="31.15" customHeight="1" thickBot="1" x14ac:dyDescent="0.25">
      <c r="B3" s="96" t="s">
        <v>793</v>
      </c>
      <c r="C3" s="212" t="str">
        <f>+'B1'!C4</f>
        <v>NN ECE</v>
      </c>
      <c r="D3" s="97" t="s">
        <v>156</v>
      </c>
      <c r="E3" s="211" t="str">
        <f>+'B1'!C2</f>
        <v>ECE</v>
      </c>
      <c r="F3" s="96" t="s">
        <v>124</v>
      </c>
      <c r="G3" s="205"/>
      <c r="H3" s="96" t="s">
        <v>543</v>
      </c>
      <c r="I3" s="206"/>
    </row>
    <row r="4" spans="2:11" ht="24" customHeight="1" thickBot="1" x14ac:dyDescent="0.25">
      <c r="B4" s="98" t="s">
        <v>125</v>
      </c>
      <c r="C4" s="415" t="str">
        <f>+'B1'!C3</f>
        <v>EU Horizon RIA ECE PhD Example</v>
      </c>
      <c r="D4" s="416"/>
      <c r="E4" s="416"/>
      <c r="F4" s="416"/>
      <c r="G4" s="416"/>
      <c r="H4" s="416"/>
      <c r="I4" s="417"/>
    </row>
    <row r="5" spans="2:11" ht="24" customHeight="1" thickBot="1" x14ac:dyDescent="0.25">
      <c r="B5" s="98" t="s">
        <v>126</v>
      </c>
      <c r="C5" s="409"/>
      <c r="D5" s="410"/>
      <c r="E5" s="410"/>
      <c r="F5" s="410"/>
      <c r="G5" s="410"/>
      <c r="H5" s="410"/>
      <c r="I5" s="411"/>
      <c r="J5" t="str" cm="1">
        <f t="array" ref="J5">IF(IF(IF(C5="",Tabel21[Grant source])=0,"",IF(C5="",Tabel21[Grant source]))=FALSE,"",IF(IF(C5="",Tabel21[Grant source])=0,"",IF(C5="",Tabel21[Grant source])))</f>
        <v/>
      </c>
      <c r="K5" t="str">
        <f>IF(ISBLANK(C5),J5,C5)</f>
        <v/>
      </c>
    </row>
    <row r="6" spans="2:11" ht="24" customHeight="1" thickBot="1" x14ac:dyDescent="0.25">
      <c r="B6" s="98" t="s">
        <v>127</v>
      </c>
      <c r="C6" s="409"/>
      <c r="D6" s="410"/>
      <c r="E6" s="410"/>
      <c r="F6" s="410"/>
      <c r="G6" s="410"/>
      <c r="H6" s="410"/>
      <c r="I6" s="411"/>
      <c r="J6" t="str" cm="1">
        <f t="array" ref="J6">IF(IF(IF(C6="",Tabel21[Instrument])=0,"",IF(C6="",Tabel21[Instrument]))=FALSE,"",IF(IF(C6="",Tabel21[Instrument])=0,"",IF(C6="",Tabel21[Instrument])))</f>
        <v/>
      </c>
      <c r="K6" t="str">
        <f>IF(ISBLANK(C6),J6,C6)</f>
        <v/>
      </c>
    </row>
    <row r="7" spans="2:11" ht="24" customHeight="1" thickBot="1" x14ac:dyDescent="0.25">
      <c r="B7" s="98" t="s">
        <v>128</v>
      </c>
      <c r="C7" s="102">
        <f>+'B1'!H8</f>
        <v>0</v>
      </c>
      <c r="D7" s="418"/>
      <c r="E7" s="419"/>
      <c r="F7" s="419"/>
      <c r="G7" s="419"/>
      <c r="H7" s="419"/>
      <c r="I7" s="420"/>
    </row>
    <row r="8" spans="2:11" ht="24" customHeight="1" thickBot="1" x14ac:dyDescent="0.25">
      <c r="B8" s="98" t="s">
        <v>129</v>
      </c>
      <c r="C8" s="409"/>
      <c r="D8" s="410"/>
      <c r="E8" s="410"/>
      <c r="F8" s="410"/>
      <c r="G8" s="410"/>
      <c r="H8" s="410"/>
      <c r="I8" s="411"/>
    </row>
    <row r="9" spans="2:11" ht="31.15" customHeight="1" thickBot="1" x14ac:dyDescent="0.25">
      <c r="B9" s="98" t="s">
        <v>813</v>
      </c>
      <c r="C9" s="207"/>
      <c r="D9" s="421" t="s">
        <v>603</v>
      </c>
      <c r="E9" s="422"/>
      <c r="F9" s="409"/>
      <c r="G9" s="410"/>
      <c r="H9" s="410"/>
      <c r="I9" s="411"/>
    </row>
    <row r="10" spans="2:11" ht="24" customHeight="1" thickBot="1" x14ac:dyDescent="0.25">
      <c r="B10" s="98" t="s">
        <v>1128</v>
      </c>
      <c r="C10" s="272">
        <f>+'B1'!C9</f>
        <v>0</v>
      </c>
      <c r="D10" s="421" t="s">
        <v>1127</v>
      </c>
      <c r="E10" s="422"/>
      <c r="F10" s="423">
        <f>+'B1'!H9</f>
        <v>0</v>
      </c>
      <c r="G10" s="424"/>
      <c r="H10" s="425"/>
      <c r="I10" s="426"/>
    </row>
    <row r="11" spans="2:11" ht="24" customHeight="1" thickBot="1" x14ac:dyDescent="0.25">
      <c r="B11" s="97" t="s">
        <v>1129</v>
      </c>
      <c r="C11" s="276"/>
      <c r="D11" s="421" t="s">
        <v>1130</v>
      </c>
      <c r="E11" s="422"/>
      <c r="F11" s="427"/>
      <c r="G11" s="428"/>
      <c r="H11" s="429"/>
      <c r="I11" s="430"/>
    </row>
    <row r="12" spans="2:11" ht="119.45" customHeight="1" thickBot="1" x14ac:dyDescent="0.25">
      <c r="B12" s="99" t="s">
        <v>131</v>
      </c>
      <c r="C12" s="431"/>
      <c r="D12" s="432"/>
      <c r="E12" s="432"/>
      <c r="F12" s="432"/>
      <c r="G12" s="432"/>
      <c r="H12" s="432"/>
      <c r="I12" s="433"/>
    </row>
    <row r="13" spans="2:11" ht="29.45" customHeight="1" thickBot="1" x14ac:dyDescent="0.25">
      <c r="B13" s="98" t="s">
        <v>132</v>
      </c>
      <c r="C13" s="409"/>
      <c r="D13" s="410"/>
      <c r="E13" s="410"/>
      <c r="F13" s="410"/>
      <c r="G13" s="410"/>
      <c r="H13" s="410"/>
      <c r="I13" s="411"/>
    </row>
    <row r="14" spans="2:11" ht="24" customHeight="1" thickBot="1" x14ac:dyDescent="0.25">
      <c r="B14" s="98" t="s">
        <v>133</v>
      </c>
      <c r="C14" s="409"/>
      <c r="D14" s="410"/>
      <c r="E14" s="410"/>
      <c r="F14" s="410"/>
      <c r="G14" s="410"/>
      <c r="H14" s="410"/>
      <c r="I14" s="411"/>
    </row>
    <row r="15" spans="2:11" ht="47.45" customHeight="1" thickBot="1" x14ac:dyDescent="0.25">
      <c r="B15" s="98" t="s">
        <v>134</v>
      </c>
      <c r="C15" s="409" t="s">
        <v>1389</v>
      </c>
      <c r="D15" s="410"/>
      <c r="E15" s="410"/>
      <c r="F15" s="410"/>
      <c r="G15" s="410"/>
      <c r="H15" s="410"/>
      <c r="I15" s="411"/>
    </row>
    <row r="16" spans="2:11" ht="18.75" thickBot="1" x14ac:dyDescent="0.25">
      <c r="B16" s="437" t="s">
        <v>169</v>
      </c>
      <c r="C16" s="438"/>
      <c r="D16" s="438"/>
      <c r="E16" s="438"/>
      <c r="F16" s="438"/>
      <c r="G16" s="438"/>
      <c r="H16" s="438"/>
      <c r="I16" s="439"/>
    </row>
    <row r="17" spans="2:9" ht="37.9" customHeight="1" thickBot="1" x14ac:dyDescent="0.25">
      <c r="B17" s="421" t="s">
        <v>136</v>
      </c>
      <c r="C17" s="422"/>
      <c r="D17" s="409"/>
      <c r="E17" s="410"/>
      <c r="F17" s="410"/>
      <c r="G17" s="410"/>
      <c r="H17" s="410"/>
      <c r="I17" s="411"/>
    </row>
    <row r="18" spans="2:9" ht="23.45" customHeight="1" thickBot="1" x14ac:dyDescent="0.25">
      <c r="B18" s="421" t="s">
        <v>137</v>
      </c>
      <c r="C18" s="422"/>
      <c r="D18" s="440"/>
      <c r="E18" s="441"/>
      <c r="F18" s="442"/>
      <c r="G18" s="443"/>
      <c r="H18" s="443"/>
      <c r="I18" s="444"/>
    </row>
    <row r="19" spans="2:9" ht="23.45" customHeight="1" thickBot="1" x14ac:dyDescent="0.25">
      <c r="B19" s="421" t="s">
        <v>607</v>
      </c>
      <c r="C19" s="422"/>
      <c r="D19" s="448">
        <f>+IF('B1'!C2='Cover letter ING'!E3,'B1'!AC63,0)+IF('B2'!C2='Cover letter ING'!E3,'B2'!AC63,0)+IF('B3'!C2='Cover letter ING'!E3,'B3'!AC63,0)+IF('B4'!C2='Cover letter ING'!E3,'B4'!AC63,0)+IF('B5'!C2='Cover letter ING'!E3,'B5'!AC63,0)</f>
        <v>4901750</v>
      </c>
      <c r="E19" s="449"/>
      <c r="F19" s="445"/>
      <c r="G19" s="446"/>
      <c r="H19" s="446"/>
      <c r="I19" s="447"/>
    </row>
    <row r="20" spans="2:9" ht="28.5" customHeight="1" thickBot="1" x14ac:dyDescent="0.25">
      <c r="B20" s="421" t="s">
        <v>138</v>
      </c>
      <c r="C20" s="422"/>
      <c r="D20" s="448">
        <f>+IF(E3='B1'!C2,'B1'!AC79,0)+IF(E3='B2'!C2,'B2'!AC79,0)+IF(E3='B3'!C2,'B3'!AC79,0)+IF(E3='B4'!C2,'B4'!AC79,0)+IF(E3='B5'!C2,'B5'!AC79,0)</f>
        <v>4901750</v>
      </c>
      <c r="E20" s="449"/>
      <c r="F20" s="445"/>
      <c r="G20" s="446"/>
      <c r="H20" s="446"/>
      <c r="I20" s="447"/>
    </row>
    <row r="21" spans="2:9" ht="28.5" customHeight="1" thickBot="1" x14ac:dyDescent="0.25">
      <c r="B21" s="421" t="s">
        <v>1326</v>
      </c>
      <c r="C21" s="422"/>
      <c r="D21" s="448">
        <f>+IF(E3='B1'!C2,SUM('B1'!AC75:AC78),0)+IF(E3='B2'!C2,SUM('B2'!AC75:AC78),0)+IF(E3='B3'!C2,SUM('B3'!AC75:AC78),0)+IF(E3='B4'!C2,SUM('B4'!AC75:AC78),0)+IF(E3='B5'!C2,SUM('B5'!AC75:AC78),0)</f>
        <v>980350</v>
      </c>
      <c r="E21" s="449"/>
      <c r="F21" s="445"/>
      <c r="G21" s="446"/>
      <c r="H21" s="446"/>
      <c r="I21" s="447"/>
    </row>
    <row r="22" spans="2:9" ht="28.5" customHeight="1" thickBot="1" x14ac:dyDescent="0.25">
      <c r="B22" s="421" t="s">
        <v>157</v>
      </c>
      <c r="C22" s="422"/>
      <c r="D22" s="448">
        <f>+IF('B1'!C2='Cover letter ING'!E3,SUMIF('B1'!O20:O45,Lister!D30,'B1'!AC20:AC46),0)+IF('B2'!C2='Cover letter ING'!E3,SUMIF('B2'!O20:O45,Lister!D30,'B2'!AC20:AC46),0)+IF('B3'!C2='Cover letter ING'!E3,SUMIF('B3'!O20:O45,Lister!D30,'B3'!AC20:AC46),0)+IF('B4'!C2='Cover letter ING'!E3,SUMIF('B4'!O20:O45,Lister!D30,'B4'!AC20:AC46),0)+IF('B5'!C2='Cover letter ING'!E3,SUMIF('B5'!O20:O45,Lister!D30,'B5'!AC20:AC46),0)</f>
        <v>1617900</v>
      </c>
      <c r="E22" s="449"/>
      <c r="F22" s="445"/>
      <c r="G22" s="446"/>
      <c r="H22" s="446"/>
      <c r="I22" s="447"/>
    </row>
    <row r="23" spans="2:9" ht="28.5" customHeight="1" thickBot="1" x14ac:dyDescent="0.25">
      <c r="B23" s="421" t="s">
        <v>163</v>
      </c>
      <c r="C23" s="422"/>
      <c r="D23" s="448">
        <f>(IF('B1'!C2='Cover letter ING'!E3,SUMIF('B1'!O52:O64,Lister!D30,'B1'!M52:M64),0)+IF('B2'!C2='Cover letter ING'!E3,SUMIF('B2'!O52:O64,Lister!D30,'B2'!M52:M64),0)+IF('B3'!C2='Cover letter ING'!E3,SUMIF('B3'!O52:O64,Lister!D30,'B3'!M52:M64),0)+IF('B4'!C2='Cover letter ING'!E3,SUMIF('B4'!O52:O64,Lister!D30,'B4'!M52:M64),0)+IF('B5'!C2='Cover letter ING'!E3,SUMIF('B5'!O52:O64,Lister!D30,'B5'!M52:M64),0))</f>
        <v>0</v>
      </c>
      <c r="E23" s="449"/>
      <c r="F23" s="445"/>
      <c r="G23" s="446"/>
      <c r="H23" s="446"/>
      <c r="I23" s="447"/>
    </row>
    <row r="24" spans="2:9" ht="28.5" customHeight="1" thickBot="1" x14ac:dyDescent="0.25">
      <c r="B24" s="421" t="s">
        <v>164</v>
      </c>
      <c r="C24" s="422"/>
      <c r="D24" s="448">
        <f>+IF('B1'!C2='Cover letter ING'!E3,SUMIF('B1'!O20:O45,Lister!D31,'B1'!AC20:AC46),0)+IF('B2'!C2='Cover letter ING'!E3,SUMIF('B2'!O20:O45,Lister!D31,'B2'!AC20:AC46),0)+IF('B3'!C2='Cover letter ING'!E3,SUMIF('B3'!O20:O45,Lister!D31,'B3'!AC20:AC46),0)+IF('B4'!C2='Cover letter ING'!E3,SUMIF('B4'!O20:O45,Lister!D31,'B4'!AC20:AC46),0)+IF('B5'!C2='Cover letter ING'!E3,SUMIF('B5'!O20:O45,Lister!D31,'B5'!AC20:AC46),0)</f>
        <v>0</v>
      </c>
      <c r="E24" s="449"/>
      <c r="F24" s="107" t="s">
        <v>611</v>
      </c>
      <c r="G24" s="106">
        <f>+(D24+D25)/D19</f>
        <v>0</v>
      </c>
      <c r="H24" s="450"/>
      <c r="I24" s="451"/>
    </row>
    <row r="25" spans="2:9" ht="28.5" customHeight="1" thickBot="1" x14ac:dyDescent="0.25">
      <c r="B25" s="421" t="s">
        <v>161</v>
      </c>
      <c r="C25" s="422"/>
      <c r="D25" s="448">
        <f>+IF('B1'!C2='Cover letter ING'!E3,SUMIF('B1'!O52:O64,Lister!D31,'B1'!M52:M64),0)+IF('B2'!C2='Cover letter ING'!E3,SUMIF('B2'!O52:O64,Lister!D31,'B2'!M52:M64),0)+IF('B3'!C2='Cover letter ING'!E3,SUMIF('B3'!O52:O64,Lister!D31,'B3'!M52:M64),0)+IF('B4'!C2='Cover letter ING'!E3,SUMIF('B4'!O52:O64,Lister!D31,'B4'!M52:M64),0)+IF('B5'!C2='Cover letter ING'!E3,SUMIF('B5'!O52:O64,Lister!D31,'B5'!M52:M64),0)</f>
        <v>0</v>
      </c>
      <c r="E25" s="449"/>
      <c r="F25" s="452"/>
      <c r="G25" s="453"/>
      <c r="H25" s="453"/>
      <c r="I25" s="454"/>
    </row>
    <row r="26" spans="2:9" ht="28.5" customHeight="1" thickBot="1" x14ac:dyDescent="0.25">
      <c r="B26" s="421" t="s">
        <v>139</v>
      </c>
      <c r="C26" s="422"/>
      <c r="D26" s="448">
        <f>+IF('B1'!C2='Cover letter ING'!E3,SUMIF('B1'!O20:O45,Lister!D32,'B1'!AC20:AC46),0)+IF('B2'!C2='Cover letter ING'!E3,SUMIF('B2'!O20:O45,Lister!D32,'B2'!AC20:AC46),0)+IF('B3'!C2='Cover letter ING'!E3,SUMIF('B3'!O20:O45,Lister!D32,'B3'!AC20:AC46),0)+IF('B4'!C2='Cover letter ING'!E3,SUMIF('B4'!O20:O45,Lister!D32,'B4'!AC20:AC46),0)+IF('B5'!C2='Cover letter ING'!E3,SUMIF('B5'!O20:O45,Lister!D32,'B5'!AC20:AC46),0)+IF('B1'!C2='Cover letter ING'!E3,SUMIF('B1'!O52:O64,Lister!D32,'B1'!M52:M64),0)+IF('B2'!C2='Cover letter ING'!E3,SUMIF('B2'!O52:O64,Lister!D32,'B2'!M52:M64),0)+IF('B3'!C2='Cover letter ING'!E3,SUMIF('B3'!O52:O64,Lister!D32,'B3'!M52:M64),0)+IF('B4'!C2='Cover letter ING'!E3,SUMIF('B4'!O52:O64,Lister!D32,'B4'!M52:M64),0)+IF('B5'!C2='Cover letter ING'!E3,SUMIF('B5'!O52:O64,Lister!D32,'B5'!M52:M64),0)</f>
        <v>0</v>
      </c>
      <c r="E26" s="449"/>
      <c r="F26" s="421" t="s">
        <v>140</v>
      </c>
      <c r="G26" s="422"/>
      <c r="H26" s="455"/>
      <c r="I26" s="456"/>
    </row>
    <row r="27" spans="2:9" ht="28.5" customHeight="1" thickBot="1" x14ac:dyDescent="0.25">
      <c r="B27" s="421" t="s">
        <v>141</v>
      </c>
      <c r="C27" s="422"/>
      <c r="D27" s="448">
        <f>SUMIFS('B1'!M52:M62,'B1'!A52:A62,Lister!M11,'B1'!O52:O62,Lister!D29)-(((SUMIFS('B1'!M20:M29,'B1'!A20:A29,Takstblad!A22,'B1'!O20:O29,Lister!D29)+SUMIFS('B1'!M20:M29,'B1'!A20:A29,Takstblad!A23,'B1'!O20:O29,Lister!D29))/12)*30000)</f>
        <v>-90000</v>
      </c>
      <c r="E27" s="449"/>
      <c r="F27" s="434"/>
      <c r="G27" s="435"/>
      <c r="H27" s="435"/>
      <c r="I27" s="436"/>
    </row>
    <row r="28" spans="2:9" ht="39.6" customHeight="1" thickBot="1" x14ac:dyDescent="0.25">
      <c r="B28" s="421" t="s">
        <v>166</v>
      </c>
      <c r="C28" s="422"/>
      <c r="D28" s="448">
        <f>SUMIFS('B1'!M52:M62,'B1'!A52:A62,Lister!M7,'B1'!O52:O62,Lister!D29)+SUMIFS('B2'!M52:M62,'B2'!A52:A62,Lister!M7,'B2'!O52:O62,Lister!D29)+SUMIFS('B3'!M52:M62,'B3'!A52:A62,Lister!M7,'B3'!O52:O62,Lister!D29)+SUMIFS('B4'!M52:M62,'B4'!A52:A62,Lister!M7,'B4'!O52:O62,Lister!D29)+SUMIFS('B5'!M52:M62,'B5'!A52:A62,Lister!M7,'B5'!O52:O62,Lister!D29)</f>
        <v>0</v>
      </c>
      <c r="E28" s="449"/>
      <c r="F28" s="97" t="s">
        <v>167</v>
      </c>
      <c r="G28" s="108">
        <f>+SUMIF('B1'!A52:A62,Lister!M9,'B1'!M52:M62)+SUMIF('B2'!A52:A62,Lister!M9,'B2'!M52:M62)+SUMIF('B3'!A52:A62,Lister!M9,'B3'!M52:M62)+SUMIF('B4'!A52:A62,Lister!M9,'B4'!M52:M62)+SUMIF('B5'!A52:A62,Lister!M9,'B5'!M52:M62)</f>
        <v>0</v>
      </c>
      <c r="H28" s="103" t="s">
        <v>165</v>
      </c>
      <c r="I28" s="108">
        <f>SUMIFS('B1'!M52:M62,'B1'!A52:A62,Lister!M8,'B1'!O52:O62,Lister!D30)+SUMIFS('B2'!M52:M62,'B2'!A52:A62,Lister!M8,'B2'!O52:O62,Lister!D30)+SUMIFS('B3'!M52:M62,'B3'!A52:A62,Lister!M8,'B3'!O52:O62,Lister!D30)+SUMIFS('B4'!M52:M62,'B4'!A52:A62,Lister!M8,'B4'!O52:O62,Lister!D30)+SUMIFS('B5'!M52:M62,'B5'!A52:A62,Lister!M8,'B5'!O52:O62,Lister!D30)</f>
        <v>0</v>
      </c>
    </row>
    <row r="29" spans="2:9" ht="31.9" customHeight="1" thickBot="1" x14ac:dyDescent="0.25">
      <c r="B29" s="421" t="s">
        <v>168</v>
      </c>
      <c r="C29" s="422"/>
      <c r="D29" s="409"/>
      <c r="E29" s="410"/>
      <c r="F29" s="457"/>
      <c r="G29" s="458"/>
      <c r="H29" s="458"/>
      <c r="I29" s="459"/>
    </row>
    <row r="30" spans="2:9" ht="50.45" customHeight="1" thickBot="1" x14ac:dyDescent="0.25">
      <c r="B30" s="421" t="s">
        <v>155</v>
      </c>
      <c r="C30" s="469"/>
      <c r="D30" s="470">
        <f>+(D21+D27-D24-D25-G28)/D20</f>
        <v>0.18163921048605089</v>
      </c>
      <c r="E30" s="471"/>
      <c r="F30" s="434"/>
      <c r="G30" s="435"/>
      <c r="H30" s="435"/>
      <c r="I30" s="436"/>
    </row>
    <row r="31" spans="2:9" ht="58.15" customHeight="1" thickBot="1" x14ac:dyDescent="0.25">
      <c r="B31" s="421" t="s">
        <v>799</v>
      </c>
      <c r="C31" s="422"/>
      <c r="D31" s="470">
        <f>+(D21+D22+D23+D27-D24-D25-G28)/D20</f>
        <v>0.51170500331514257</v>
      </c>
      <c r="E31" s="471"/>
      <c r="F31" s="460"/>
      <c r="G31" s="461"/>
      <c r="H31" s="461"/>
      <c r="I31" s="462"/>
    </row>
    <row r="32" spans="2:9" ht="42.6" customHeight="1" thickBot="1" x14ac:dyDescent="0.25">
      <c r="B32" s="421" t="s">
        <v>800</v>
      </c>
      <c r="C32" s="469"/>
      <c r="D32" s="470">
        <f>+(D21+D22+D23+D27-D25-G28)/D20</f>
        <v>0.51170500331514257</v>
      </c>
      <c r="E32" s="471"/>
      <c r="F32" s="463"/>
      <c r="G32" s="464"/>
      <c r="H32" s="464"/>
      <c r="I32" s="465"/>
    </row>
    <row r="33" spans="2:9" ht="40.15" customHeight="1" thickBot="1" x14ac:dyDescent="0.25">
      <c r="B33" s="472" t="s">
        <v>790</v>
      </c>
      <c r="C33" s="473"/>
      <c r="D33" s="100" t="s">
        <v>142</v>
      </c>
      <c r="E33" s="268"/>
      <c r="F33" s="269"/>
      <c r="G33" s="97" t="s">
        <v>789</v>
      </c>
      <c r="H33" s="474"/>
      <c r="I33" s="475"/>
    </row>
    <row r="34" spans="2:9" ht="19.899999999999999" customHeight="1" thickBot="1" x14ac:dyDescent="0.25">
      <c r="B34" s="437" t="s">
        <v>162</v>
      </c>
      <c r="C34" s="438"/>
      <c r="D34" s="438"/>
      <c r="E34" s="438"/>
      <c r="F34" s="438"/>
      <c r="G34" s="438"/>
      <c r="H34" s="438"/>
      <c r="I34" s="439"/>
    </row>
    <row r="35" spans="2:9" ht="28.5" customHeight="1" thickBot="1" x14ac:dyDescent="0.25">
      <c r="B35" s="421" t="s">
        <v>723</v>
      </c>
      <c r="C35" s="422"/>
      <c r="D35" s="455" t="s">
        <v>135</v>
      </c>
      <c r="E35" s="456"/>
      <c r="F35" s="466"/>
      <c r="G35" s="467"/>
      <c r="H35" s="467"/>
      <c r="I35" s="468"/>
    </row>
    <row r="36" spans="2:9" ht="26.45" customHeight="1" thickBot="1" x14ac:dyDescent="0.25">
      <c r="B36" s="421" t="s">
        <v>171</v>
      </c>
      <c r="C36" s="422"/>
      <c r="D36" s="409" t="s">
        <v>119</v>
      </c>
      <c r="E36" s="410"/>
      <c r="F36" s="103" t="s">
        <v>170</v>
      </c>
      <c r="G36" s="208"/>
      <c r="H36" s="104"/>
      <c r="I36" s="105"/>
    </row>
    <row r="38" spans="2:9" x14ac:dyDescent="0.2">
      <c r="B38" s="1"/>
    </row>
    <row r="39" spans="2:9" ht="18" x14ac:dyDescent="0.25">
      <c r="B39" s="40"/>
    </row>
    <row r="40" spans="2:9" x14ac:dyDescent="0.2">
      <c r="B40" s="1"/>
    </row>
    <row r="41" spans="2:9" s="42" customFormat="1" x14ac:dyDescent="0.2"/>
    <row r="42" spans="2:9" x14ac:dyDescent="0.2">
      <c r="B42" s="1"/>
    </row>
    <row r="43" spans="2:9" x14ac:dyDescent="0.2">
      <c r="B43" s="1"/>
    </row>
    <row r="44" spans="2:9" x14ac:dyDescent="0.2">
      <c r="B44" s="1"/>
      <c r="C44" s="42"/>
    </row>
    <row r="45" spans="2:9" x14ac:dyDescent="0.2">
      <c r="B45" s="1"/>
    </row>
    <row r="46" spans="2:9" x14ac:dyDescent="0.2">
      <c r="B46" s="1"/>
    </row>
    <row r="47" spans="2:9" x14ac:dyDescent="0.2">
      <c r="B47" s="1"/>
      <c r="C47" s="42"/>
    </row>
    <row r="48" spans="2:9" x14ac:dyDescent="0.2">
      <c r="B48" s="1"/>
    </row>
    <row r="49" spans="2:3" x14ac:dyDescent="0.2">
      <c r="B49" s="1"/>
      <c r="C49" s="42"/>
    </row>
    <row r="50" spans="2:3" x14ac:dyDescent="0.2">
      <c r="B50" s="1"/>
      <c r="C50" s="101"/>
    </row>
    <row r="51" spans="2:3" x14ac:dyDescent="0.2">
      <c r="B51" s="1"/>
      <c r="C51" s="101"/>
    </row>
    <row r="52" spans="2:3" x14ac:dyDescent="0.2">
      <c r="B52" s="1"/>
      <c r="C52" s="101"/>
    </row>
    <row r="53" spans="2:3" x14ac:dyDescent="0.2">
      <c r="B53" s="1"/>
      <c r="C53" s="101"/>
    </row>
    <row r="54" spans="2:3" x14ac:dyDescent="0.2">
      <c r="B54" s="1"/>
      <c r="C54" s="42"/>
    </row>
    <row r="55" spans="2:3" x14ac:dyDescent="0.2">
      <c r="B55" s="1"/>
      <c r="C55" s="303"/>
    </row>
    <row r="56" spans="2:3" x14ac:dyDescent="0.2">
      <c r="B56" s="1"/>
      <c r="C56" s="303"/>
    </row>
    <row r="57" spans="2:3" x14ac:dyDescent="0.2">
      <c r="B57" s="1"/>
      <c r="C57" s="42"/>
    </row>
    <row r="58" spans="2:3" x14ac:dyDescent="0.2">
      <c r="B58" s="1"/>
      <c r="C58" s="42"/>
    </row>
    <row r="59" spans="2:3" x14ac:dyDescent="0.2">
      <c r="B59" s="1"/>
      <c r="C59" s="42"/>
    </row>
    <row r="60" spans="2:3" x14ac:dyDescent="0.2">
      <c r="B60" s="1"/>
      <c r="C60" s="42"/>
    </row>
    <row r="61" spans="2:3" x14ac:dyDescent="0.2">
      <c r="B61" s="1"/>
    </row>
  </sheetData>
  <sheetProtection algorithmName="SHA-512" hashValue="6M9B5Zp93IWmTSxm7AEaUp+omzqJBnM4kP1063/Gn548Yl3k9wWGX4HVya8UwSYqKR3RtlCb9mhOrileFJ9iQw==" saltValue="b2Cj0wyq6mNRyg9slYUPeQ==" spinCount="100000" sheet="1" objects="1" scenarios="1"/>
  <mergeCells count="68">
    <mergeCell ref="D19:E19"/>
    <mergeCell ref="B36:C36"/>
    <mergeCell ref="D36:E36"/>
    <mergeCell ref="B35:C35"/>
    <mergeCell ref="D35:E35"/>
    <mergeCell ref="B30:C30"/>
    <mergeCell ref="D30:E30"/>
    <mergeCell ref="B27:C27"/>
    <mergeCell ref="D27:E27"/>
    <mergeCell ref="B28:C28"/>
    <mergeCell ref="D28:E28"/>
    <mergeCell ref="B19:C19"/>
    <mergeCell ref="F29:I29"/>
    <mergeCell ref="F30:I32"/>
    <mergeCell ref="F35:I35"/>
    <mergeCell ref="B34:I34"/>
    <mergeCell ref="B32:C32"/>
    <mergeCell ref="D32:E32"/>
    <mergeCell ref="B33:C33"/>
    <mergeCell ref="H33:I33"/>
    <mergeCell ref="B31:C31"/>
    <mergeCell ref="D31:E31"/>
    <mergeCell ref="B29:C29"/>
    <mergeCell ref="D29:E29"/>
    <mergeCell ref="H24:I24"/>
    <mergeCell ref="B25:C25"/>
    <mergeCell ref="D25:E25"/>
    <mergeCell ref="F25:I25"/>
    <mergeCell ref="B26:C26"/>
    <mergeCell ref="D26:E26"/>
    <mergeCell ref="F26:G26"/>
    <mergeCell ref="H26:I26"/>
    <mergeCell ref="B24:C24"/>
    <mergeCell ref="D24:E24"/>
    <mergeCell ref="F27:I27"/>
    <mergeCell ref="C15:I15"/>
    <mergeCell ref="B16:I16"/>
    <mergeCell ref="B17:C17"/>
    <mergeCell ref="D17:I17"/>
    <mergeCell ref="B18:C18"/>
    <mergeCell ref="D18:E18"/>
    <mergeCell ref="F18:I23"/>
    <mergeCell ref="B20:C20"/>
    <mergeCell ref="D20:E20"/>
    <mergeCell ref="B21:C21"/>
    <mergeCell ref="D21:E21"/>
    <mergeCell ref="B22:C22"/>
    <mergeCell ref="D22:E22"/>
    <mergeCell ref="B23:C23"/>
    <mergeCell ref="D23:E23"/>
    <mergeCell ref="C14:I14"/>
    <mergeCell ref="D7:I7"/>
    <mergeCell ref="C8:I8"/>
    <mergeCell ref="D10:E10"/>
    <mergeCell ref="F10:G10"/>
    <mergeCell ref="H10:I10"/>
    <mergeCell ref="D11:E11"/>
    <mergeCell ref="F11:G11"/>
    <mergeCell ref="H11:I11"/>
    <mergeCell ref="C12:I12"/>
    <mergeCell ref="C13:I13"/>
    <mergeCell ref="D9:E9"/>
    <mergeCell ref="F9:I9"/>
    <mergeCell ref="C6:I6"/>
    <mergeCell ref="B1:I1"/>
    <mergeCell ref="B2:I2"/>
    <mergeCell ref="C4:I4"/>
    <mergeCell ref="C5:I5"/>
  </mergeCells>
  <conditionalFormatting sqref="J5:J6">
    <cfRule type="expression" dxfId="1" priority="1">
      <formula>LEN(J5)&gt;0</formula>
    </cfRule>
  </conditionalFormatting>
  <dataValidations count="1">
    <dataValidation type="date" allowBlank="1" showInputMessage="1" showErrorMessage="1" errorTitle="Format" error="Remember the format should be DD-MM-YYYY" sqref="C11 F11:G11" xr:uid="{057E1433-C595-4E88-9E03-02FE75560FB8}">
      <formula1>45292</formula1>
      <formula2>73050</formula2>
    </dataValidation>
  </dataValidations>
  <pageMargins left="0.19685039370078741" right="0" top="0.39370078740157483" bottom="0.39370078740157483" header="0.31496062992125984" footer="0.31496062992125984"/>
  <pageSetup scale="56"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FC9CD9BB-D6C0-4DB0-BDBC-43DAD95011AE}">
          <x14:formula1>
            <xm:f>Lister!$A$32:$A$33</xm:f>
          </x14:formula1>
          <xm:sqref>C9 D29:E29 D36:E36</xm:sqref>
        </x14:dataValidation>
        <x14:dataValidation type="list" allowBlank="1" showInputMessage="1" showErrorMessage="1" xr:uid="{42697D83-29BE-4DE1-BB94-E8D963BC386D}">
          <x14:formula1>
            <xm:f>GrantSource!$A$2:$A$2005</xm:f>
          </x14:formula1>
          <xm:sqref>C5:I5</xm:sqref>
        </x14:dataValidation>
        <x14:dataValidation type="list" allowBlank="1" showInputMessage="1" showErrorMessage="1" xr:uid="{32835964-B11C-423E-BE82-3C7AF3AF32F7}">
          <x14:formula1>
            <xm:f>Instrument!$D:$D</xm:f>
          </x14:formula1>
          <xm:sqref>C6:I6</xm:sqref>
        </x14:dataValidation>
        <x14:dataValidation type="list" allowBlank="1" showInputMessage="1" showErrorMessage="1" xr:uid="{9DA0BD86-4F38-4C0C-B4BA-2E8BBF0E38A3}">
          <x14:formula1>
            <xm:f>Section!$E:$E</xm:f>
          </x14:formula1>
          <xm:sqref>G3</xm:sqref>
        </x14:dataValidation>
        <x14:dataValidation type="list" allowBlank="1" showInputMessage="1" showErrorMessage="1" error="Please select controller from the list" xr:uid="{05771F3C-73C6-46AC-9D4C-C6085EA5DB0C}">
          <x14:formula1>
            <xm:f>Economists!$B$2:$B$501</xm:f>
          </x14:formula1>
          <xm:sqref>H33:I33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483C-7FB8-45B7-B970-098D9E943D49}">
  <sheetPr codeName="Ark15">
    <tabColor theme="6" tint="0.59999389629810485"/>
    <pageSetUpPr fitToPage="1"/>
  </sheetPr>
  <dimension ref="B1:K65"/>
  <sheetViews>
    <sheetView topLeftCell="A15" zoomScale="85" zoomScaleNormal="85" workbookViewId="0">
      <selection activeCell="D30" sqref="D30:E30"/>
    </sheetView>
  </sheetViews>
  <sheetFormatPr defaultRowHeight="14.25" x14ac:dyDescent="0.2"/>
  <cols>
    <col min="2" max="2" width="29.25" customWidth="1"/>
    <col min="3" max="3" width="19.5" customWidth="1"/>
    <col min="4" max="4" width="13.125" customWidth="1"/>
    <col min="5" max="5" width="13.875" customWidth="1"/>
    <col min="6" max="6" width="28.625" customWidth="1"/>
    <col min="7" max="8" width="17.75" customWidth="1"/>
    <col min="9" max="9" width="20.75" customWidth="1"/>
    <col min="10" max="10" width="40.625" customWidth="1"/>
    <col min="11" max="11" width="0" hidden="1" customWidth="1"/>
  </cols>
  <sheetData>
    <row r="1" spans="2:11" ht="24.75" x14ac:dyDescent="0.2">
      <c r="B1" s="412"/>
      <c r="C1" s="412"/>
      <c r="D1" s="412"/>
      <c r="E1" s="412"/>
      <c r="F1" s="412"/>
      <c r="G1" s="412"/>
      <c r="H1" s="412"/>
      <c r="I1" s="412"/>
    </row>
    <row r="2" spans="2:11" ht="51.6" customHeight="1" thickBot="1" x14ac:dyDescent="0.25">
      <c r="B2" s="413" t="s">
        <v>610</v>
      </c>
      <c r="C2" s="414"/>
      <c r="D2" s="414"/>
      <c r="E2" s="414"/>
      <c r="F2" s="414"/>
      <c r="G2" s="414"/>
      <c r="H2" s="414"/>
      <c r="I2" s="414"/>
    </row>
    <row r="3" spans="2:11" ht="31.15" customHeight="1" thickBot="1" x14ac:dyDescent="0.25">
      <c r="B3" s="96" t="s">
        <v>793</v>
      </c>
      <c r="C3" s="212" t="str">
        <f>+'B1'!C4</f>
        <v>NN ECE</v>
      </c>
      <c r="D3" s="97" t="s">
        <v>156</v>
      </c>
      <c r="E3" s="211" t="str">
        <f>+'B1'!C2</f>
        <v>ECE</v>
      </c>
      <c r="F3" s="96" t="s">
        <v>124</v>
      </c>
      <c r="G3" s="205"/>
      <c r="H3" s="96" t="s">
        <v>543</v>
      </c>
      <c r="I3" s="209"/>
    </row>
    <row r="4" spans="2:11" ht="24" customHeight="1" thickBot="1" x14ac:dyDescent="0.25">
      <c r="B4" s="98" t="s">
        <v>125</v>
      </c>
      <c r="C4" s="415" t="str">
        <f>+'B1'!C3</f>
        <v>EU Horizon RIA ECE PhD Example</v>
      </c>
      <c r="D4" s="416"/>
      <c r="E4" s="416"/>
      <c r="F4" s="416"/>
      <c r="G4" s="416"/>
      <c r="H4" s="416"/>
      <c r="I4" s="417"/>
    </row>
    <row r="5" spans="2:11" ht="24" customHeight="1" thickBot="1" x14ac:dyDescent="0.25">
      <c r="B5" s="98" t="s">
        <v>126</v>
      </c>
      <c r="C5" s="409"/>
      <c r="D5" s="410"/>
      <c r="E5" s="410"/>
      <c r="F5" s="410"/>
      <c r="G5" s="410"/>
      <c r="H5" s="410"/>
      <c r="I5" s="411"/>
      <c r="J5" t="str" cm="1">
        <f t="array" ref="J5">IF(IF(IF(C5="",Tabel21[Grant source])=0,"",IF(C5="",Tabel21[Grant source]))=FALSE,"",IF(IF(C5="",Tabel21[Grant source])=0,"",IF(C5="",Tabel21[Grant source])))</f>
        <v/>
      </c>
      <c r="K5" t="str">
        <f>IF(ISBLANK(C5),J5,C5)</f>
        <v/>
      </c>
    </row>
    <row r="6" spans="2:11" ht="24" customHeight="1" thickBot="1" x14ac:dyDescent="0.25">
      <c r="B6" s="98" t="s">
        <v>127</v>
      </c>
      <c r="C6" s="409"/>
      <c r="D6" s="410"/>
      <c r="E6" s="410"/>
      <c r="F6" s="410"/>
      <c r="G6" s="410"/>
      <c r="H6" s="410"/>
      <c r="I6" s="411"/>
      <c r="J6" t="str" cm="1">
        <f t="array" ref="J6">IF(IF(IF(C6="",Tabel21[Instrument])=0,"",IF(C6="",Tabel21[Instrument]))=FALSE,"",IF(IF(C6="",Tabel21[Instrument])=0,"",IF(C6="",Tabel21[Instrument])))</f>
        <v/>
      </c>
      <c r="K6" t="str">
        <f>IF(ISBLANK(C6),J6,C6)</f>
        <v/>
      </c>
    </row>
    <row r="7" spans="2:11" ht="24" customHeight="1" thickBot="1" x14ac:dyDescent="0.25">
      <c r="B7" s="98" t="s">
        <v>128</v>
      </c>
      <c r="C7" s="102">
        <f>+'B1'!H8</f>
        <v>0</v>
      </c>
      <c r="D7" s="418"/>
      <c r="E7" s="419"/>
      <c r="F7" s="419"/>
      <c r="G7" s="419"/>
      <c r="H7" s="419"/>
      <c r="I7" s="420"/>
    </row>
    <row r="8" spans="2:11" ht="24" customHeight="1" thickBot="1" x14ac:dyDescent="0.25">
      <c r="B8" s="98" t="s">
        <v>129</v>
      </c>
      <c r="C8" s="409"/>
      <c r="D8" s="410"/>
      <c r="E8" s="410"/>
      <c r="F8" s="410"/>
      <c r="G8" s="410"/>
      <c r="H8" s="410"/>
      <c r="I8" s="411"/>
    </row>
    <row r="9" spans="2:11" ht="31.15" customHeight="1" thickBot="1" x14ac:dyDescent="0.25">
      <c r="B9" s="98" t="s">
        <v>813</v>
      </c>
      <c r="C9" s="207"/>
      <c r="D9" s="421" t="s">
        <v>603</v>
      </c>
      <c r="E9" s="422"/>
      <c r="F9" s="409"/>
      <c r="G9" s="410"/>
      <c r="H9" s="410"/>
      <c r="I9" s="410"/>
    </row>
    <row r="10" spans="2:11" ht="24" customHeight="1" thickBot="1" x14ac:dyDescent="0.25">
      <c r="B10" s="98" t="s">
        <v>1128</v>
      </c>
      <c r="C10" s="272">
        <f>+'B1'!C9</f>
        <v>0</v>
      </c>
      <c r="D10" s="421" t="s">
        <v>1127</v>
      </c>
      <c r="E10" s="422"/>
      <c r="F10" s="423">
        <f>+'B1'!H9</f>
        <v>0</v>
      </c>
      <c r="G10" s="424"/>
      <c r="H10" s="476"/>
      <c r="I10" s="477"/>
    </row>
    <row r="11" spans="2:11" ht="32.450000000000003" customHeight="1" thickBot="1" x14ac:dyDescent="0.25">
      <c r="B11" s="97" t="s">
        <v>1129</v>
      </c>
      <c r="C11" s="276"/>
      <c r="D11" s="421" t="s">
        <v>1130</v>
      </c>
      <c r="E11" s="422"/>
      <c r="F11" s="427"/>
      <c r="G11" s="428"/>
      <c r="H11" s="429"/>
      <c r="I11" s="430"/>
    </row>
    <row r="12" spans="2:11" ht="119.45" customHeight="1" thickBot="1" x14ac:dyDescent="0.25">
      <c r="B12" s="99" t="s">
        <v>131</v>
      </c>
      <c r="C12" s="432"/>
      <c r="D12" s="432"/>
      <c r="E12" s="432"/>
      <c r="F12" s="432"/>
      <c r="G12" s="432"/>
      <c r="H12" s="432"/>
      <c r="I12" s="433"/>
    </row>
    <row r="13" spans="2:11" ht="29.45" customHeight="1" thickBot="1" x14ac:dyDescent="0.25">
      <c r="B13" s="98" t="s">
        <v>132</v>
      </c>
      <c r="C13" s="409"/>
      <c r="D13" s="410"/>
      <c r="E13" s="410"/>
      <c r="F13" s="410"/>
      <c r="G13" s="410"/>
      <c r="H13" s="410"/>
      <c r="I13" s="411"/>
    </row>
    <row r="14" spans="2:11" ht="24" customHeight="1" thickBot="1" x14ac:dyDescent="0.25">
      <c r="B14" s="98" t="s">
        <v>133</v>
      </c>
      <c r="C14" s="409"/>
      <c r="D14" s="410"/>
      <c r="E14" s="410"/>
      <c r="F14" s="410"/>
      <c r="G14" s="410"/>
      <c r="H14" s="410"/>
      <c r="I14" s="411"/>
    </row>
    <row r="15" spans="2:11" ht="47.45" customHeight="1" thickBot="1" x14ac:dyDescent="0.25">
      <c r="B15" s="98" t="s">
        <v>134</v>
      </c>
      <c r="C15" s="409"/>
      <c r="D15" s="410"/>
      <c r="E15" s="410"/>
      <c r="F15" s="410"/>
      <c r="G15" s="410"/>
      <c r="H15" s="410"/>
      <c r="I15" s="411"/>
    </row>
    <row r="16" spans="2:11" ht="18.75" thickBot="1" x14ac:dyDescent="0.25">
      <c r="B16" s="437" t="s">
        <v>169</v>
      </c>
      <c r="C16" s="438"/>
      <c r="D16" s="438"/>
      <c r="E16" s="438"/>
      <c r="F16" s="438"/>
      <c r="G16" s="438"/>
      <c r="H16" s="438"/>
      <c r="I16" s="439"/>
    </row>
    <row r="17" spans="2:9" ht="37.9" customHeight="1" thickBot="1" x14ac:dyDescent="0.25">
      <c r="B17" s="421" t="s">
        <v>136</v>
      </c>
      <c r="C17" s="422"/>
      <c r="D17" s="409"/>
      <c r="E17" s="410"/>
      <c r="F17" s="410"/>
      <c r="G17" s="410"/>
      <c r="H17" s="410"/>
      <c r="I17" s="411"/>
    </row>
    <row r="18" spans="2:9" ht="33.75" customHeight="1" thickBot="1" x14ac:dyDescent="0.25">
      <c r="B18" s="421" t="s">
        <v>137</v>
      </c>
      <c r="C18" s="422"/>
      <c r="D18" s="440"/>
      <c r="E18" s="441"/>
      <c r="F18" s="442"/>
      <c r="G18" s="443"/>
      <c r="H18" s="443"/>
      <c r="I18" s="444"/>
    </row>
    <row r="19" spans="2:9" ht="23.45" customHeight="1" thickBot="1" x14ac:dyDescent="0.25">
      <c r="B19" s="421" t="s">
        <v>607</v>
      </c>
      <c r="C19" s="422"/>
      <c r="D19" s="448">
        <f>+IF(E3='B1'!C2,'B1'!AC63,0)+IF(E3='B2'!C2,'B2'!AC63,0)+IF(E3='B3'!C2,'B3'!AC63,0)+IF(E3='B4'!C2,'B4'!AC63,0)+IF(E3='B5'!C2,'B5'!AC63,0)</f>
        <v>4901750</v>
      </c>
      <c r="E19" s="449"/>
      <c r="F19" s="445"/>
      <c r="G19" s="446"/>
      <c r="H19" s="446"/>
      <c r="I19" s="447"/>
    </row>
    <row r="20" spans="2:9" ht="28.5" customHeight="1" thickBot="1" x14ac:dyDescent="0.25">
      <c r="B20" s="421" t="s">
        <v>138</v>
      </c>
      <c r="C20" s="422"/>
      <c r="D20" s="448">
        <f>+IF(E3='B1'!C2,'B1'!AC79,0)+IF(E3='B2'!C2,'B2'!AC79,0)+IF(E3='B3'!C2,'B3'!AC79,0)+IF(E3='B4'!C2,'B4'!AC79,0)+IF(E3='B5'!C2,'B5'!AC79,0)</f>
        <v>4901750</v>
      </c>
      <c r="E20" s="449"/>
      <c r="F20" s="445"/>
      <c r="G20" s="446"/>
      <c r="H20" s="446"/>
      <c r="I20" s="447"/>
    </row>
    <row r="21" spans="2:9" ht="28.5" customHeight="1" thickBot="1" x14ac:dyDescent="0.25">
      <c r="B21" s="421" t="s">
        <v>1326</v>
      </c>
      <c r="C21" s="422"/>
      <c r="D21" s="448">
        <f>+IF(E3='B1'!C2,SUM('B1'!AC75:AC78),0)+IF(E3='B2'!C2,SUM('B2'!AC75:AC78),0)+IF(E3='B3'!C2,SUM('B3'!AC75:AC78),0)+IF(E3='B4'!C2,SUM('B4'!AC75:AC78),0)+IF(E3='B5'!C2,SUM('B5'!AC75:AC78),0)</f>
        <v>980350</v>
      </c>
      <c r="E21" s="449"/>
      <c r="F21" s="445"/>
      <c r="G21" s="446"/>
      <c r="H21" s="446"/>
      <c r="I21" s="447"/>
    </row>
    <row r="22" spans="2:9" ht="28.5" customHeight="1" thickBot="1" x14ac:dyDescent="0.25">
      <c r="B22" s="421" t="s">
        <v>157</v>
      </c>
      <c r="C22" s="422"/>
      <c r="D22" s="448">
        <f>+IF('B1'!C2='Cover letter'!E3,SUMIF('B1'!O20:O45,Lister!D30,'B1'!AC20:AC46),0)+IF('B2'!C2='Cover letter'!E3,SUMIF('B2'!O20:O45,Lister!D30,'B2'!AC20:AC46),0)+IF('B3'!C2='Cover letter'!E3,SUMIF('B3'!O20:O45,Lister!D30,'B3'!AC20:AC46),0)+IF('B4'!C2='Cover letter'!E3,SUMIF('B4'!O20:O45,Lister!D30,'B4'!AC20:AC46),0)+IF('B5'!C2='Cover letter'!E3,SUMIF('B5'!O20:O45,Lister!D30,'B5'!AC20:AC46),0)</f>
        <v>1617900</v>
      </c>
      <c r="E22" s="449"/>
      <c r="F22" s="445"/>
      <c r="G22" s="446"/>
      <c r="H22" s="446"/>
      <c r="I22" s="447"/>
    </row>
    <row r="23" spans="2:9" ht="28.5" customHeight="1" thickBot="1" x14ac:dyDescent="0.25">
      <c r="B23" s="421" t="s">
        <v>163</v>
      </c>
      <c r="C23" s="422"/>
      <c r="D23" s="448">
        <f>(IF('B1'!C2='Cover letter'!E3,SUMIF('B1'!O52:O64,Lister!D30,'B1'!M52:M64),0)+IF('B2'!C2='Cover letter'!E3,SUMIF('B2'!O52:O64,Lister!D30,'B2'!M52:M64),0)+IF('B3'!C2='Cover letter'!E3,SUMIF('B3'!O52:O64,Lister!D30,'B3'!M52:M64),0)+IF('B4'!C2='Cover letter'!E3,SUMIF('B4'!O52:O64,Lister!D30,'B4'!M52:M64),0)+IF('B5'!C2='Cover letter'!E3,SUMIF('B5'!O52:O64,Lister!D30,'B5'!M52:M64),0))</f>
        <v>0</v>
      </c>
      <c r="E23" s="449"/>
      <c r="F23" s="445"/>
      <c r="G23" s="446"/>
      <c r="H23" s="446"/>
      <c r="I23" s="447"/>
    </row>
    <row r="24" spans="2:9" ht="28.5" customHeight="1" thickBot="1" x14ac:dyDescent="0.25">
      <c r="B24" s="421" t="s">
        <v>164</v>
      </c>
      <c r="C24" s="422"/>
      <c r="D24" s="448">
        <f>+IF('B1'!C2='Cover letter'!E3,SUMIF('B1'!O20:O45,Lister!D31,'B1'!AC20:AC46),0)+IF('B2'!C2='Cover letter'!E3,SUMIF('B2'!O20:O45,Lister!D31,'B2'!AC20:AC46),0)+IF('B3'!C2='Cover letter'!E3,SUMIF('B3'!O20:O45,Lister!D31,'B3'!AC20:AC46),0)+IF('B4'!C2='Cover letter'!E3,SUMIF('B4'!O20:O45,Lister!D31,'B4'!AC20:AC46),0)+IF('B5'!C2='Cover letter'!E3,SUMIF('B5'!O20:O45,Lister!D31,'B5'!AC20:AC46),0)</f>
        <v>0</v>
      </c>
      <c r="E24" s="449"/>
      <c r="F24" s="107" t="s">
        <v>611</v>
      </c>
      <c r="G24" s="106">
        <f>+(D24+D25)/D19</f>
        <v>0</v>
      </c>
      <c r="H24" s="450"/>
      <c r="I24" s="451"/>
    </row>
    <row r="25" spans="2:9" ht="28.5" customHeight="1" thickBot="1" x14ac:dyDescent="0.25">
      <c r="B25" s="421" t="s">
        <v>161</v>
      </c>
      <c r="C25" s="422"/>
      <c r="D25" s="448">
        <f>+IF('B1'!C2='Cover letter'!E3,SUMIF('B1'!O52:O64,Lister!D31,'B1'!M52:M64),0)+IF('B2'!C2='Cover letter'!E3,SUMIF('B2'!O52:O64,Lister!D31,'B2'!M52:M64),0)+IF('B3'!C2='Cover letter'!E3,SUMIF('B3'!O52:O64,Lister!D31,'B3'!M52:M64),0)+IF('B4'!C2='Cover letter'!E3,SUMIF('B4'!O52:O64,Lister!D31,'B4'!M52:M64),0)+IF('B5'!C2='Cover letter'!E3,SUMIF('B5'!O52:O64,Lister!D31,'B5'!M52:M64),0)</f>
        <v>0</v>
      </c>
      <c r="E25" s="449"/>
      <c r="F25" s="452"/>
      <c r="G25" s="453"/>
      <c r="H25" s="453"/>
      <c r="I25" s="454"/>
    </row>
    <row r="26" spans="2:9" ht="28.5" customHeight="1" thickBot="1" x14ac:dyDescent="0.25">
      <c r="B26" s="421" t="s">
        <v>139</v>
      </c>
      <c r="C26" s="422"/>
      <c r="D26" s="448">
        <f>+IF('B1'!C2='Cover letter'!E3,SUMIF('B1'!O20:O45,Lister!D32,'B1'!AC20:AC46),0)+IF('B2'!C2='Cover letter'!E3,SUMIF('B2'!O20:O45,Lister!D32,'B2'!AC20:AC46),0)+IF('B3'!C2='Cover letter'!E3,SUMIF('B3'!O20:O45,Lister!D32,'B3'!AC20:AC46),0)+IF('B4'!C2='Cover letter'!E3,SUMIF('B4'!O20:O45,Lister!D32,'B4'!AC20:AC46),0)+IF('B5'!C2='Cover letter'!E3,SUMIF('B5'!O20:O45,Lister!D32,'B5'!AC20:AC46),0)+IF('B1'!C2='Cover letter'!E3,SUMIF('B1'!O52:O64,Lister!D32,'B1'!M52:M64),0)+IF('B2'!C2='Cover letter'!E3,SUMIF('B2'!O52:O64,Lister!D32,'B2'!M52:M64),0)+IF('B3'!C2='Cover letter'!E3,SUMIF('B3'!O52:O64,Lister!D32,'B3'!M52:M64),0)+IF('B4'!C2='Cover letter'!E3,SUMIF('B4'!O52:O64,Lister!D32,'B4'!M52:M64),0)+IF('B5'!C2='Cover letter'!E3,SUMIF('B5'!O52:O64,Lister!D32,'B5'!M52:M64),0)</f>
        <v>0</v>
      </c>
      <c r="E26" s="449"/>
      <c r="F26" s="421" t="s">
        <v>140</v>
      </c>
      <c r="G26" s="422"/>
      <c r="H26" s="455"/>
      <c r="I26" s="456"/>
    </row>
    <row r="27" spans="2:9" ht="28.5" customHeight="1" thickBot="1" x14ac:dyDescent="0.25">
      <c r="B27" s="421" t="s">
        <v>141</v>
      </c>
      <c r="C27" s="422"/>
      <c r="D27" s="448">
        <f>SUMIFS('B1'!M52:M62,'B1'!A52:A62,Lister!M11,'B1'!O52:O62,Lister!D29)-(((SUMIFS('B1'!M20:M29,'B1'!A20:A29,Takstblad!A22,'B1'!O20:O29,Lister!D29)+SUMIFS('B1'!M20:M29,'B1'!A20:A29,Takstblad!A23,'B1'!O20:O29,Lister!D29))/12)*30000)</f>
        <v>-90000</v>
      </c>
      <c r="E27" s="449"/>
      <c r="F27" s="434"/>
      <c r="G27" s="435"/>
      <c r="H27" s="435"/>
      <c r="I27" s="436"/>
    </row>
    <row r="28" spans="2:9" ht="37.9" customHeight="1" thickBot="1" x14ac:dyDescent="0.25">
      <c r="B28" s="421" t="s">
        <v>166</v>
      </c>
      <c r="C28" s="422"/>
      <c r="D28" s="448">
        <f>SUMIFS('B1'!M52:M62,'B1'!A52:A62,Lister!M7,'B1'!O52:O62,Lister!D29)+SUMIFS('B2'!M52:M62,'B2'!A52:A62,Lister!M7,'B2'!O52:O62,Lister!D29)+SUMIFS('B3'!M52:M62,'B3'!A52:A62,Lister!M7,'B3'!O52:O62,Lister!D29)+SUMIFS('B4'!M52:M62,'B4'!A52:A62,Lister!M7,'B4'!O52:O62,Lister!D29)+SUMIFS('B5'!M52:M62,'B5'!A52:A62,Lister!M7,'B5'!O52:O62,Lister!D29)</f>
        <v>0</v>
      </c>
      <c r="E28" s="449"/>
      <c r="F28" s="97" t="s">
        <v>167</v>
      </c>
      <c r="G28" s="108">
        <f>+SUMIF('B1'!A52:A62,Lister!M9,'B1'!M52:M62)+SUMIF('B2'!A52:A62,Lister!M9,'B2'!M52:M62)+SUMIF('B3'!A52:A62,Lister!M9,'B3'!M52:M62)+SUMIF('B4'!A52:A62,Lister!M9,'B4'!M52:M62)+SUMIF('B5'!A52:A62,Lister!M9,'B5'!M52:M62)</f>
        <v>0</v>
      </c>
      <c r="H28" s="97" t="s">
        <v>165</v>
      </c>
      <c r="I28" s="108">
        <f>SUMIFS('B1'!M52:M62,'B1'!A52:A62,Lister!M8,'B1'!O52:O62,Lister!D30)+SUMIFS('B2'!M52:M62,'B2'!A52:A62,Lister!M8,'B2'!O52:O62,Lister!D30)+SUMIFS('B3'!M52:M62,'B3'!A52:A62,Lister!M8,'B3'!O52:O62,Lister!D30)+SUMIFS('B4'!M52:M62,'B4'!A52:A62,Lister!M8,'B4'!O52:O62,Lister!D30)+SUMIFS('B5'!M52:M62,'B5'!A52:A62,Lister!M8,'B5'!O52:O62,Lister!D30)</f>
        <v>0</v>
      </c>
    </row>
    <row r="29" spans="2:9" ht="41.45" customHeight="1" thickBot="1" x14ac:dyDescent="0.25">
      <c r="B29" s="421" t="s">
        <v>791</v>
      </c>
      <c r="C29" s="422"/>
      <c r="D29" s="409"/>
      <c r="E29" s="410"/>
      <c r="F29" s="492"/>
      <c r="G29" s="493"/>
      <c r="H29" s="493"/>
      <c r="I29" s="494"/>
    </row>
    <row r="30" spans="2:9" ht="42" customHeight="1" thickBot="1" x14ac:dyDescent="0.25">
      <c r="B30" s="421" t="s">
        <v>175</v>
      </c>
      <c r="C30" s="469"/>
      <c r="D30" s="470">
        <f>IFERROR((D21+D22+D23-D24-D25)/(D20-D21-D22-D23+D24+D25),0)</f>
        <v>1.1279574560451486</v>
      </c>
      <c r="E30" s="471"/>
      <c r="F30" s="457"/>
      <c r="G30" s="458"/>
      <c r="H30" s="458"/>
      <c r="I30" s="459"/>
    </row>
    <row r="31" spans="2:9" ht="40.15" customHeight="1" thickBot="1" x14ac:dyDescent="0.25">
      <c r="B31" s="472" t="s">
        <v>1124</v>
      </c>
      <c r="C31" s="473"/>
      <c r="D31" s="100" t="s">
        <v>787</v>
      </c>
      <c r="E31" s="266"/>
      <c r="F31" s="267"/>
      <c r="G31" s="97" t="s">
        <v>788</v>
      </c>
      <c r="H31" s="474"/>
      <c r="I31" s="475"/>
    </row>
    <row r="32" spans="2:9" ht="19.899999999999999" customHeight="1" thickBot="1" x14ac:dyDescent="0.25">
      <c r="B32" s="437" t="s">
        <v>162</v>
      </c>
      <c r="C32" s="438"/>
      <c r="D32" s="438"/>
      <c r="E32" s="438"/>
      <c r="F32" s="438"/>
      <c r="G32" s="438"/>
      <c r="H32" s="438"/>
      <c r="I32" s="439"/>
    </row>
    <row r="33" spans="2:9" ht="29.45" customHeight="1" thickBot="1" x14ac:dyDescent="0.25">
      <c r="B33" s="421" t="s">
        <v>172</v>
      </c>
      <c r="C33" s="422"/>
      <c r="D33" s="409"/>
      <c r="E33" s="410"/>
      <c r="F33" s="434"/>
      <c r="G33" s="435"/>
      <c r="H33" s="435"/>
      <c r="I33" s="436"/>
    </row>
    <row r="34" spans="2:9" ht="29.45" customHeight="1" thickBot="1" x14ac:dyDescent="0.25">
      <c r="B34" s="421" t="s">
        <v>173</v>
      </c>
      <c r="C34" s="422"/>
      <c r="D34" s="409"/>
      <c r="E34" s="410"/>
      <c r="F34" s="463"/>
      <c r="G34" s="464"/>
      <c r="H34" s="464"/>
      <c r="I34" s="465"/>
    </row>
    <row r="35" spans="2:9" ht="26.45" customHeight="1" thickBot="1" x14ac:dyDescent="0.25">
      <c r="B35" s="421" t="s">
        <v>144</v>
      </c>
      <c r="C35" s="422"/>
      <c r="D35" s="100" t="s">
        <v>142</v>
      </c>
      <c r="E35" s="478"/>
      <c r="F35" s="479"/>
      <c r="G35" s="97" t="s">
        <v>143</v>
      </c>
      <c r="H35" s="474"/>
      <c r="I35" s="475"/>
    </row>
    <row r="36" spans="2:9" ht="34.9" customHeight="1" thickBot="1" x14ac:dyDescent="0.25">
      <c r="B36" s="480" t="s">
        <v>174</v>
      </c>
      <c r="C36" s="481"/>
      <c r="D36" s="409"/>
      <c r="E36" s="485"/>
      <c r="F36" s="486"/>
      <c r="G36" s="487"/>
      <c r="H36" s="487"/>
      <c r="I36" s="488"/>
    </row>
    <row r="37" spans="2:9" ht="22.9" customHeight="1" thickBot="1" x14ac:dyDescent="0.25">
      <c r="B37" s="482" t="s">
        <v>154</v>
      </c>
      <c r="C37" s="483"/>
      <c r="D37" s="100" t="s">
        <v>142</v>
      </c>
      <c r="E37" s="427"/>
      <c r="F37" s="428"/>
      <c r="G37" s="97" t="s">
        <v>143</v>
      </c>
      <c r="H37" s="484"/>
      <c r="I37" s="475"/>
    </row>
    <row r="38" spans="2:9" ht="22.9" customHeight="1" thickBot="1" x14ac:dyDescent="0.25">
      <c r="B38" s="482" t="s">
        <v>153</v>
      </c>
      <c r="C38" s="483"/>
      <c r="D38" s="489"/>
      <c r="E38" s="490"/>
      <c r="F38" s="490"/>
      <c r="G38" s="490"/>
      <c r="H38" s="490"/>
      <c r="I38" s="491"/>
    </row>
    <row r="39" spans="2:9" ht="28.5" customHeight="1" thickBot="1" x14ac:dyDescent="0.25">
      <c r="B39" s="421" t="s">
        <v>723</v>
      </c>
      <c r="C39" s="422"/>
      <c r="D39" s="455" t="s">
        <v>135</v>
      </c>
      <c r="E39" s="456"/>
      <c r="F39" s="466"/>
      <c r="G39" s="467"/>
      <c r="H39" s="467"/>
      <c r="I39" s="468"/>
    </row>
    <row r="40" spans="2:9" ht="26.45" customHeight="1" thickBot="1" x14ac:dyDescent="0.25">
      <c r="B40" s="421" t="s">
        <v>171</v>
      </c>
      <c r="C40" s="422"/>
      <c r="D40" s="409"/>
      <c r="E40" s="410"/>
      <c r="F40" s="103" t="s">
        <v>170</v>
      </c>
      <c r="G40" s="208"/>
      <c r="H40" s="104"/>
      <c r="I40" s="105"/>
    </row>
    <row r="42" spans="2:9" x14ac:dyDescent="0.2">
      <c r="B42" s="1"/>
    </row>
    <row r="43" spans="2:9" ht="18" x14ac:dyDescent="0.25">
      <c r="B43" s="40"/>
    </row>
    <row r="44" spans="2:9" x14ac:dyDescent="0.2">
      <c r="B44" s="1"/>
    </row>
    <row r="45" spans="2:9" s="42" customFormat="1" x14ac:dyDescent="0.2"/>
    <row r="46" spans="2:9" x14ac:dyDescent="0.2">
      <c r="B46" s="1"/>
    </row>
    <row r="47" spans="2:9" x14ac:dyDescent="0.2">
      <c r="B47" s="1"/>
    </row>
    <row r="48" spans="2:9" x14ac:dyDescent="0.2">
      <c r="B48" s="1"/>
      <c r="C48" s="42"/>
    </row>
    <row r="49" spans="2:3" x14ac:dyDescent="0.2">
      <c r="B49" s="1"/>
    </row>
    <row r="50" spans="2:3" x14ac:dyDescent="0.2">
      <c r="B50" s="1"/>
    </row>
    <row r="51" spans="2:3" x14ac:dyDescent="0.2">
      <c r="B51" s="1"/>
    </row>
    <row r="52" spans="2:3" x14ac:dyDescent="0.2">
      <c r="B52" s="1"/>
    </row>
    <row r="53" spans="2:3" x14ac:dyDescent="0.2">
      <c r="B53" s="1"/>
      <c r="C53" s="42"/>
    </row>
    <row r="54" spans="2:3" x14ac:dyDescent="0.2">
      <c r="B54" s="1"/>
      <c r="C54" s="101"/>
    </row>
    <row r="55" spans="2:3" x14ac:dyDescent="0.2">
      <c r="B55" s="1"/>
      <c r="C55" s="101"/>
    </row>
    <row r="56" spans="2:3" x14ac:dyDescent="0.2">
      <c r="B56" s="1"/>
      <c r="C56" s="101"/>
    </row>
    <row r="57" spans="2:3" x14ac:dyDescent="0.2">
      <c r="B57" s="1"/>
      <c r="C57" s="101"/>
    </row>
    <row r="58" spans="2:3" x14ac:dyDescent="0.2">
      <c r="B58" s="1"/>
      <c r="C58" s="42"/>
    </row>
    <row r="59" spans="2:3" x14ac:dyDescent="0.2">
      <c r="B59" s="1"/>
      <c r="C59" s="303"/>
    </row>
    <row r="60" spans="2:3" x14ac:dyDescent="0.2">
      <c r="B60" s="1"/>
      <c r="C60" s="303"/>
    </row>
    <row r="61" spans="2:3" x14ac:dyDescent="0.2">
      <c r="B61" s="1"/>
      <c r="C61" s="42"/>
    </row>
    <row r="62" spans="2:3" x14ac:dyDescent="0.2">
      <c r="B62" s="1"/>
      <c r="C62" s="42"/>
    </row>
    <row r="63" spans="2:3" x14ac:dyDescent="0.2">
      <c r="B63" s="1"/>
      <c r="C63" s="42"/>
    </row>
    <row r="64" spans="2:3" x14ac:dyDescent="0.2">
      <c r="B64" s="1"/>
      <c r="C64" s="42"/>
    </row>
    <row r="65" spans="2:2" x14ac:dyDescent="0.2">
      <c r="B65" s="1"/>
    </row>
  </sheetData>
  <sheetProtection algorithmName="SHA-512" hashValue="STvoj5dZ5V58pwdfkVnjHrC2zrtbah+1DOacvRzD+lEIompmMOdjpUBmg8eqmq+2ktvFVXMGhrdaOjJ9LrGh6Q==" saltValue="qlfUraKQer3HUosLdvsO6g==" spinCount="100000" sheet="1" objects="1" scenarios="1"/>
  <mergeCells count="78">
    <mergeCell ref="F29:I30"/>
    <mergeCell ref="B27:C27"/>
    <mergeCell ref="B24:C24"/>
    <mergeCell ref="B26:C26"/>
    <mergeCell ref="D26:E26"/>
    <mergeCell ref="D28:E28"/>
    <mergeCell ref="D23:E23"/>
    <mergeCell ref="F27:I27"/>
    <mergeCell ref="C12:I12"/>
    <mergeCell ref="C13:I13"/>
    <mergeCell ref="B29:C29"/>
    <mergeCell ref="D29:E29"/>
    <mergeCell ref="B19:C19"/>
    <mergeCell ref="D19:E19"/>
    <mergeCell ref="D20:E20"/>
    <mergeCell ref="B21:C21"/>
    <mergeCell ref="D21:E21"/>
    <mergeCell ref="B22:C22"/>
    <mergeCell ref="D22:E22"/>
    <mergeCell ref="B28:C28"/>
    <mergeCell ref="B25:C25"/>
    <mergeCell ref="D25:E25"/>
    <mergeCell ref="C15:I15"/>
    <mergeCell ref="B16:I16"/>
    <mergeCell ref="D40:E40"/>
    <mergeCell ref="F36:I36"/>
    <mergeCell ref="D38:I38"/>
    <mergeCell ref="B31:C31"/>
    <mergeCell ref="H31:I31"/>
    <mergeCell ref="B33:C33"/>
    <mergeCell ref="D33:E33"/>
    <mergeCell ref="F33:I34"/>
    <mergeCell ref="B34:C34"/>
    <mergeCell ref="D34:E34"/>
    <mergeCell ref="B32:I32"/>
    <mergeCell ref="B38:C38"/>
    <mergeCell ref="H35:I35"/>
    <mergeCell ref="B40:C40"/>
    <mergeCell ref="B35:C35"/>
    <mergeCell ref="B39:C39"/>
    <mergeCell ref="D39:E39"/>
    <mergeCell ref="F39:I39"/>
    <mergeCell ref="E35:F35"/>
    <mergeCell ref="B36:C36"/>
    <mergeCell ref="B37:C37"/>
    <mergeCell ref="E37:F37"/>
    <mergeCell ref="H37:I37"/>
    <mergeCell ref="D36:E36"/>
    <mergeCell ref="D7:I7"/>
    <mergeCell ref="C8:I8"/>
    <mergeCell ref="D10:E10"/>
    <mergeCell ref="F10:G10"/>
    <mergeCell ref="F9:I9"/>
    <mergeCell ref="D9:E9"/>
    <mergeCell ref="H10:I11"/>
    <mergeCell ref="D11:E11"/>
    <mergeCell ref="F11:G11"/>
    <mergeCell ref="B1:I1"/>
    <mergeCell ref="B2:I2"/>
    <mergeCell ref="C4:I4"/>
    <mergeCell ref="C5:I5"/>
    <mergeCell ref="C6:I6"/>
    <mergeCell ref="C14:I14"/>
    <mergeCell ref="B30:C30"/>
    <mergeCell ref="B23:C23"/>
    <mergeCell ref="D27:E27"/>
    <mergeCell ref="F26:G26"/>
    <mergeCell ref="H26:I26"/>
    <mergeCell ref="D24:E24"/>
    <mergeCell ref="H24:I24"/>
    <mergeCell ref="F18:I23"/>
    <mergeCell ref="F25:I25"/>
    <mergeCell ref="B20:C20"/>
    <mergeCell ref="B17:C17"/>
    <mergeCell ref="D17:I17"/>
    <mergeCell ref="B18:C18"/>
    <mergeCell ref="D18:E18"/>
    <mergeCell ref="D30:E30"/>
  </mergeCells>
  <conditionalFormatting sqref="J5:J6">
    <cfRule type="expression" dxfId="0" priority="1">
      <formula>LEN(J5)&gt;0</formula>
    </cfRule>
  </conditionalFormatting>
  <dataValidations count="1">
    <dataValidation type="date" allowBlank="1" showInputMessage="1" showErrorMessage="1" errorTitle="Format" error="Remember the format should be DD-MM-YYYY" sqref="F11:G11 C11" xr:uid="{F357D608-DF3B-42D9-B393-29969547F86E}">
      <formula1>45292</formula1>
      <formula2>73050</formula2>
    </dataValidation>
  </dataValidations>
  <pageMargins left="0.11811023622047245" right="0" top="0.39370078740157483" bottom="0.39370078740157483" header="0.31496062992125984" footer="0.31496062992125984"/>
  <pageSetup scale="56"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088E61E-733C-4B46-B1ED-7F3DFE667DA7}">
          <x14:formula1>
            <xm:f>Lister!$A$32:$A$33</xm:f>
          </x14:formula1>
          <xm:sqref>C9 D29:E29 D36:E36 D33:E34 D40:E40</xm:sqref>
        </x14:dataValidation>
        <x14:dataValidation type="list" allowBlank="1" showInputMessage="1" showErrorMessage="1" errorTitle="Choose from the list" error="Please choose grant source from the list." xr:uid="{8E8A7629-A3F4-46AD-9F6A-BB6E8FDE4755}">
          <x14:formula1>
            <xm:f>GrantSource!$A$2:$A$2005</xm:f>
          </x14:formula1>
          <xm:sqref>C5:I5</xm:sqref>
        </x14:dataValidation>
        <x14:dataValidation type="list" allowBlank="1" showInputMessage="1" showErrorMessage="1" errorTitle="Choose from the list" error="Please choose Instrument from the list" xr:uid="{2D7798C6-974C-44B1-9995-253BA0BB7093}">
          <x14:formula1>
            <xm:f>Instrument!$D:$D</xm:f>
          </x14:formula1>
          <xm:sqref>C6:I6</xm:sqref>
        </x14:dataValidation>
        <x14:dataValidation type="list" allowBlank="1" showInputMessage="1" showErrorMessage="1" errorTitle="Choose from the list" error="Please choose section from the list" xr:uid="{D61C81ED-B157-4F18-9D71-5287B549A8B9}">
          <x14:formula1>
            <xm:f>Section!$E:$E</xm:f>
          </x14:formula1>
          <xm:sqref>G3</xm:sqref>
        </x14:dataValidation>
        <x14:dataValidation type="list" allowBlank="1" showInputMessage="1" showErrorMessage="1" error="Please select controller from the list_x000a_" xr:uid="{4B9964F7-2607-429E-98E2-A202CE5489DD}">
          <x14:formula1>
            <xm:f>Economists!$B$2:$B$501</xm:f>
          </x14:formula1>
          <xm:sqref>H31:I31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B709-2E64-43D6-9C62-258122B61033}">
  <sheetPr codeName="Ark17"/>
  <dimension ref="A1:D32"/>
  <sheetViews>
    <sheetView workbookViewId="0">
      <selection activeCell="D27" sqref="D27"/>
    </sheetView>
  </sheetViews>
  <sheetFormatPr defaultRowHeight="14.25" x14ac:dyDescent="0.2"/>
  <cols>
    <col min="1" max="1" width="15" bestFit="1" customWidth="1"/>
    <col min="2" max="2" width="18.875" bestFit="1" customWidth="1"/>
    <col min="3" max="3" width="14" bestFit="1" customWidth="1"/>
    <col min="4" max="4" width="13.625" bestFit="1" customWidth="1"/>
    <col min="5" max="5" width="15.5" bestFit="1" customWidth="1"/>
    <col min="6" max="6" width="19.75" bestFit="1" customWidth="1"/>
    <col min="7" max="7" width="14.5" bestFit="1" customWidth="1"/>
  </cols>
  <sheetData>
    <row r="1" spans="1:4" x14ac:dyDescent="0.2">
      <c r="A1" t="s">
        <v>719</v>
      </c>
      <c r="B1" t="s">
        <v>720</v>
      </c>
      <c r="C1" t="s">
        <v>721</v>
      </c>
      <c r="D1" t="s">
        <v>722</v>
      </c>
    </row>
    <row r="2" spans="1:4" x14ac:dyDescent="0.2">
      <c r="A2" t="s">
        <v>661</v>
      </c>
      <c r="B2" t="s">
        <v>662</v>
      </c>
      <c r="C2" t="s">
        <v>1355</v>
      </c>
      <c r="D2">
        <v>45688</v>
      </c>
    </row>
    <row r="3" spans="1:4" x14ac:dyDescent="0.2">
      <c r="A3" t="s">
        <v>663</v>
      </c>
      <c r="B3" t="s">
        <v>664</v>
      </c>
      <c r="C3" t="s">
        <v>1356</v>
      </c>
      <c r="D3" s="101">
        <v>45688</v>
      </c>
    </row>
    <row r="4" spans="1:4" x14ac:dyDescent="0.2">
      <c r="A4" t="s">
        <v>665</v>
      </c>
      <c r="B4" t="s">
        <v>666</v>
      </c>
      <c r="C4" t="s">
        <v>1357</v>
      </c>
      <c r="D4" s="101">
        <v>45688</v>
      </c>
    </row>
    <row r="5" spans="1:4" x14ac:dyDescent="0.2">
      <c r="A5" t="s">
        <v>667</v>
      </c>
      <c r="B5" t="s">
        <v>668</v>
      </c>
      <c r="C5" t="s">
        <v>1358</v>
      </c>
      <c r="D5" s="101">
        <v>45688</v>
      </c>
    </row>
    <row r="6" spans="1:4" x14ac:dyDescent="0.2">
      <c r="A6" t="s">
        <v>669</v>
      </c>
      <c r="B6" t="s">
        <v>670</v>
      </c>
      <c r="C6" t="s">
        <v>1359</v>
      </c>
      <c r="D6" s="101">
        <v>45688</v>
      </c>
    </row>
    <row r="7" spans="1:4" x14ac:dyDescent="0.2">
      <c r="A7" t="s">
        <v>671</v>
      </c>
      <c r="B7" t="s">
        <v>672</v>
      </c>
      <c r="C7" t="s">
        <v>1360</v>
      </c>
      <c r="D7" s="101">
        <v>45688</v>
      </c>
    </row>
    <row r="8" spans="1:4" x14ac:dyDescent="0.2">
      <c r="A8" t="s">
        <v>23</v>
      </c>
      <c r="B8" t="s">
        <v>673</v>
      </c>
      <c r="C8" t="s">
        <v>1361</v>
      </c>
      <c r="D8" s="101">
        <v>45688</v>
      </c>
    </row>
    <row r="9" spans="1:4" x14ac:dyDescent="0.2">
      <c r="A9" t="s">
        <v>674</v>
      </c>
      <c r="B9" t="s">
        <v>675</v>
      </c>
      <c r="C9" t="s">
        <v>1362</v>
      </c>
      <c r="D9" s="101">
        <v>45688</v>
      </c>
    </row>
    <row r="10" spans="1:4" x14ac:dyDescent="0.2">
      <c r="A10" t="s">
        <v>676</v>
      </c>
      <c r="B10" t="s">
        <v>677</v>
      </c>
      <c r="C10" t="s">
        <v>1352</v>
      </c>
      <c r="D10" s="101">
        <v>45688</v>
      </c>
    </row>
    <row r="11" spans="1:4" x14ac:dyDescent="0.2">
      <c r="A11" t="s">
        <v>678</v>
      </c>
      <c r="B11" t="s">
        <v>679</v>
      </c>
      <c r="C11" t="s">
        <v>1363</v>
      </c>
      <c r="D11" s="101">
        <v>45688</v>
      </c>
    </row>
    <row r="12" spans="1:4" x14ac:dyDescent="0.2">
      <c r="A12" t="s">
        <v>680</v>
      </c>
      <c r="B12" t="s">
        <v>681</v>
      </c>
      <c r="C12" t="s">
        <v>1353</v>
      </c>
      <c r="D12" s="101">
        <v>45688</v>
      </c>
    </row>
    <row r="13" spans="1:4" x14ac:dyDescent="0.2">
      <c r="A13" t="s">
        <v>682</v>
      </c>
      <c r="B13" t="s">
        <v>683</v>
      </c>
      <c r="C13" t="s">
        <v>1364</v>
      </c>
      <c r="D13" s="101">
        <v>45688</v>
      </c>
    </row>
    <row r="14" spans="1:4" x14ac:dyDescent="0.2">
      <c r="A14" t="s">
        <v>684</v>
      </c>
      <c r="B14" t="s">
        <v>685</v>
      </c>
      <c r="C14" t="s">
        <v>1365</v>
      </c>
      <c r="D14" s="101">
        <v>45688</v>
      </c>
    </row>
    <row r="15" spans="1:4" x14ac:dyDescent="0.2">
      <c r="A15" t="s">
        <v>686</v>
      </c>
      <c r="B15" t="s">
        <v>687</v>
      </c>
      <c r="C15" t="s">
        <v>1366</v>
      </c>
      <c r="D15" s="101">
        <v>45688</v>
      </c>
    </row>
    <row r="16" spans="1:4" x14ac:dyDescent="0.2">
      <c r="A16" t="s">
        <v>688</v>
      </c>
      <c r="B16" t="s">
        <v>689</v>
      </c>
      <c r="C16" t="s">
        <v>1367</v>
      </c>
      <c r="D16" s="101">
        <v>45688</v>
      </c>
    </row>
    <row r="17" spans="1:4" x14ac:dyDescent="0.2">
      <c r="A17" t="s">
        <v>690</v>
      </c>
      <c r="B17" t="s">
        <v>691</v>
      </c>
      <c r="C17" t="s">
        <v>1368</v>
      </c>
      <c r="D17" s="101">
        <v>45688</v>
      </c>
    </row>
    <row r="18" spans="1:4" x14ac:dyDescent="0.2">
      <c r="A18" t="s">
        <v>692</v>
      </c>
      <c r="B18" t="s">
        <v>693</v>
      </c>
      <c r="C18" t="s">
        <v>1369</v>
      </c>
      <c r="D18" s="101">
        <v>45688</v>
      </c>
    </row>
    <row r="19" spans="1:4" x14ac:dyDescent="0.2">
      <c r="A19" t="s">
        <v>25</v>
      </c>
      <c r="B19" t="s">
        <v>694</v>
      </c>
      <c r="C19" t="s">
        <v>1370</v>
      </c>
      <c r="D19" s="101">
        <v>45688</v>
      </c>
    </row>
    <row r="20" spans="1:4" x14ac:dyDescent="0.2">
      <c r="A20" t="s">
        <v>695</v>
      </c>
      <c r="B20" t="s">
        <v>696</v>
      </c>
      <c r="C20" t="s">
        <v>1371</v>
      </c>
      <c r="D20" s="101">
        <v>45688</v>
      </c>
    </row>
    <row r="21" spans="1:4" x14ac:dyDescent="0.2">
      <c r="A21" t="s">
        <v>697</v>
      </c>
      <c r="B21" t="s">
        <v>698</v>
      </c>
      <c r="C21" t="s">
        <v>1354</v>
      </c>
      <c r="D21" s="101">
        <v>45688</v>
      </c>
    </row>
    <row r="22" spans="1:4" x14ac:dyDescent="0.2">
      <c r="A22" t="s">
        <v>699</v>
      </c>
      <c r="B22" t="s">
        <v>700</v>
      </c>
      <c r="C22" t="s">
        <v>1372</v>
      </c>
      <c r="D22" s="101">
        <v>45688</v>
      </c>
    </row>
    <row r="23" spans="1:4" x14ac:dyDescent="0.2">
      <c r="A23" t="s">
        <v>701</v>
      </c>
      <c r="B23" t="s">
        <v>702</v>
      </c>
      <c r="C23" t="s">
        <v>1373</v>
      </c>
      <c r="D23" s="101">
        <v>45688</v>
      </c>
    </row>
    <row r="24" spans="1:4" x14ac:dyDescent="0.2">
      <c r="A24" t="s">
        <v>703</v>
      </c>
      <c r="B24" t="s">
        <v>704</v>
      </c>
      <c r="C24" t="s">
        <v>1374</v>
      </c>
      <c r="D24" s="101">
        <v>45688</v>
      </c>
    </row>
    <row r="25" spans="1:4" x14ac:dyDescent="0.2">
      <c r="A25" t="s">
        <v>705</v>
      </c>
      <c r="B25" t="s">
        <v>706</v>
      </c>
      <c r="C25" t="s">
        <v>1375</v>
      </c>
      <c r="D25" s="101">
        <v>45688</v>
      </c>
    </row>
    <row r="26" spans="1:4" x14ac:dyDescent="0.2">
      <c r="A26" t="s">
        <v>707</v>
      </c>
      <c r="B26" t="s">
        <v>708</v>
      </c>
      <c r="C26" t="s">
        <v>1376</v>
      </c>
      <c r="D26" s="101">
        <v>45688</v>
      </c>
    </row>
    <row r="27" spans="1:4" x14ac:dyDescent="0.2">
      <c r="A27" t="s">
        <v>709</v>
      </c>
      <c r="B27" t="s">
        <v>710</v>
      </c>
      <c r="C27" t="s">
        <v>1377</v>
      </c>
      <c r="D27" s="101">
        <v>45688</v>
      </c>
    </row>
    <row r="28" spans="1:4" x14ac:dyDescent="0.2">
      <c r="A28" t="s">
        <v>24</v>
      </c>
      <c r="B28" t="s">
        <v>711</v>
      </c>
      <c r="C28" t="s">
        <v>1378</v>
      </c>
      <c r="D28" s="101">
        <v>45688</v>
      </c>
    </row>
    <row r="29" spans="1:4" x14ac:dyDescent="0.2">
      <c r="A29" t="s">
        <v>712</v>
      </c>
      <c r="B29" t="s">
        <v>713</v>
      </c>
      <c r="C29" t="s">
        <v>1379</v>
      </c>
      <c r="D29" s="101">
        <v>45688</v>
      </c>
    </row>
    <row r="30" spans="1:4" x14ac:dyDescent="0.2">
      <c r="A30" t="s">
        <v>714</v>
      </c>
      <c r="B30" t="s">
        <v>715</v>
      </c>
      <c r="C30" t="s">
        <v>1380</v>
      </c>
      <c r="D30" s="101">
        <v>45688</v>
      </c>
    </row>
    <row r="31" spans="1:4" x14ac:dyDescent="0.2">
      <c r="A31" t="s">
        <v>716</v>
      </c>
      <c r="B31" t="s">
        <v>717</v>
      </c>
      <c r="C31" t="s">
        <v>1381</v>
      </c>
      <c r="D31" s="101">
        <v>45688</v>
      </c>
    </row>
    <row r="32" spans="1:4" x14ac:dyDescent="0.2">
      <c r="A32" t="s">
        <v>26</v>
      </c>
      <c r="B32" t="s">
        <v>718</v>
      </c>
      <c r="C32" t="s">
        <v>1382</v>
      </c>
      <c r="D32" s="101">
        <v>45688</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
    <tabColor theme="8" tint="0.59999389629810485"/>
  </sheetPr>
  <dimension ref="A1:BN142"/>
  <sheetViews>
    <sheetView showGridLines="0" showZeros="0" zoomScale="115" zoomScaleNormal="115" zoomScaleSheetLayoutView="80" workbookViewId="0">
      <selection activeCell="G23" sqref="G23"/>
    </sheetView>
  </sheetViews>
  <sheetFormatPr defaultColWidth="16.875" defaultRowHeight="12.75" outlineLevelCol="1" x14ac:dyDescent="0.2"/>
  <cols>
    <col min="1" max="1" width="53.625" style="7" customWidth="1"/>
    <col min="2" max="2" width="11.75" style="7" hidden="1" customWidth="1"/>
    <col min="3" max="8" width="11.75" style="7" customWidth="1"/>
    <col min="9" max="12" width="11.75" style="7" hidden="1" customWidth="1" outlineLevel="1"/>
    <col min="13" max="13" width="39.625" style="7" customWidth="1" collapsed="1"/>
    <col min="14" max="14" width="27.75" style="7" customWidth="1"/>
    <col min="15" max="15" width="32.875" style="7" customWidth="1"/>
    <col min="16" max="16" width="6" style="7" customWidth="1"/>
    <col min="17" max="18" width="25.25" style="6" customWidth="1"/>
    <col min="19" max="24" width="12.75" style="7" customWidth="1"/>
    <col min="25" max="29" width="12.75" style="7" customWidth="1" outlineLevel="1"/>
    <col min="30" max="30" width="4.25" style="7" customWidth="1"/>
    <col min="31" max="31" width="10.875" style="7" customWidth="1"/>
    <col min="32" max="32" width="14.875" style="7" customWidth="1"/>
    <col min="33" max="33" width="1.25" style="7" customWidth="1"/>
    <col min="34" max="34" width="10.875" style="7" bestFit="1" customWidth="1"/>
    <col min="35" max="35" width="14.875" style="7" bestFit="1" customWidth="1"/>
    <col min="36" max="36" width="1.25" style="7" customWidth="1"/>
    <col min="37" max="37" width="10.875" style="7" bestFit="1" customWidth="1"/>
    <col min="38" max="38" width="14.875" style="7" bestFit="1" customWidth="1"/>
    <col min="39" max="39" width="1.25" style="7" customWidth="1"/>
    <col min="40" max="40" width="10.875" style="7" customWidth="1"/>
    <col min="41" max="41" width="14.875" style="7" bestFit="1" customWidth="1"/>
    <col min="42" max="42" width="1.25" style="7" customWidth="1"/>
    <col min="43" max="43" width="10.875" style="7" bestFit="1" customWidth="1"/>
    <col min="44" max="44" width="14.875" style="7" bestFit="1" customWidth="1"/>
    <col min="45" max="45" width="1.25" style="7" customWidth="1"/>
    <col min="46" max="46" width="10.875" style="7" bestFit="1" customWidth="1"/>
    <col min="47" max="47" width="14.875" style="7" bestFit="1" customWidth="1"/>
    <col min="48" max="48" width="1.25" style="7" customWidth="1"/>
    <col min="49" max="49" width="10.875" style="7" bestFit="1" customWidth="1"/>
    <col min="50" max="50" width="14.875" style="7" bestFit="1" customWidth="1"/>
    <col min="51" max="51" width="1.25" style="7" customWidth="1"/>
    <col min="52" max="52" width="10.875" style="7" hidden="1" customWidth="1" outlineLevel="1"/>
    <col min="53" max="53" width="14.875" style="7" hidden="1" customWidth="1" outlineLevel="1"/>
    <col min="54" max="54" width="1.25" style="7" hidden="1" customWidth="1" outlineLevel="1"/>
    <col min="55" max="55" width="10.875" style="7" hidden="1" customWidth="1" outlineLevel="1"/>
    <col min="56" max="56" width="14.875" style="7" hidden="1" customWidth="1" outlineLevel="1"/>
    <col min="57" max="57" width="1.25" style="7" hidden="1" customWidth="1" outlineLevel="1"/>
    <col min="58" max="58" width="10.875" style="7" hidden="1" customWidth="1" outlineLevel="1"/>
    <col min="59" max="59" width="14.875" style="7" hidden="1" customWidth="1" outlineLevel="1"/>
    <col min="60" max="60" width="1.25" style="7" hidden="1" customWidth="1" outlineLevel="1"/>
    <col min="61" max="61" width="10.875" style="7" hidden="1" customWidth="1" outlineLevel="1"/>
    <col min="62" max="62" width="14.875" style="7" hidden="1" customWidth="1" outlineLevel="1"/>
    <col min="63" max="63" width="16.875" style="7" collapsed="1"/>
    <col min="64" max="16384" width="16.875" style="7"/>
  </cols>
  <sheetData>
    <row r="1" spans="1:62" s="5" customFormat="1" ht="22.15" customHeight="1" x14ac:dyDescent="0.25">
      <c r="A1" s="40" t="s">
        <v>28</v>
      </c>
      <c r="B1" s="7"/>
      <c r="E1" s="359" t="s">
        <v>786</v>
      </c>
      <c r="N1" s="359"/>
      <c r="Q1" s="16"/>
      <c r="R1" s="16"/>
    </row>
    <row r="2" spans="1:62" s="5" customFormat="1" ht="15.6" customHeight="1" x14ac:dyDescent="0.2">
      <c r="A2" s="360" t="s">
        <v>160</v>
      </c>
      <c r="B2" s="7"/>
      <c r="C2" s="290" t="s">
        <v>94</v>
      </c>
      <c r="D2" s="359"/>
      <c r="E2" s="359" t="s">
        <v>32</v>
      </c>
      <c r="M2" s="364"/>
      <c r="N2" s="359"/>
      <c r="O2" s="359"/>
      <c r="P2" s="359"/>
      <c r="Q2" s="16"/>
      <c r="R2" s="16"/>
    </row>
    <row r="3" spans="1:62" s="5" customFormat="1" ht="15.6" customHeight="1" thickBot="1" x14ac:dyDescent="0.25">
      <c r="A3" s="360" t="s">
        <v>151</v>
      </c>
      <c r="B3" s="7"/>
      <c r="C3" s="495" t="s">
        <v>1384</v>
      </c>
      <c r="D3" s="496"/>
      <c r="E3" s="496"/>
      <c r="F3" s="496"/>
      <c r="G3" s="496"/>
      <c r="H3" s="497"/>
      <c r="I3" s="69"/>
      <c r="J3" s="374"/>
      <c r="K3" s="374"/>
      <c r="L3" s="374"/>
      <c r="M3" s="188"/>
      <c r="N3" s="188"/>
      <c r="O3" s="372"/>
      <c r="P3" s="372"/>
      <c r="Q3" s="177"/>
      <c r="R3" s="177"/>
      <c r="S3" s="365"/>
      <c r="T3"/>
      <c r="U3" s="373"/>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60" t="s">
        <v>792</v>
      </c>
      <c r="B4" s="7"/>
      <c r="C4" s="498" t="s">
        <v>1383</v>
      </c>
      <c r="D4" s="499"/>
      <c r="E4" s="499"/>
      <c r="F4" s="499"/>
      <c r="G4" s="499"/>
      <c r="H4" s="500"/>
      <c r="I4" s="69"/>
      <c r="J4" s="356"/>
      <c r="K4" s="356"/>
      <c r="L4" s="375"/>
      <c r="M4" s="352" t="s">
        <v>604</v>
      </c>
      <c r="N4" s="353">
        <f>IFERROR((R79-R74+R102-R116)/(R74-R102+R116),0)</f>
        <v>1.1279574560451486</v>
      </c>
      <c r="O4" s="372"/>
      <c r="P4" s="372"/>
      <c r="Q4" s="177"/>
      <c r="R4" s="177"/>
      <c r="S4"/>
      <c r="T4" s="188"/>
      <c r="U4" s="373"/>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60" t="s">
        <v>659</v>
      </c>
      <c r="B5" s="7"/>
      <c r="C5" s="498" t="s">
        <v>102</v>
      </c>
      <c r="D5" s="499"/>
      <c r="E5" s="499"/>
      <c r="F5" s="499"/>
      <c r="G5" s="499"/>
      <c r="H5" s="500"/>
      <c r="I5" s="69"/>
      <c r="J5" s="356"/>
      <c r="K5" s="356"/>
      <c r="L5" s="376"/>
      <c r="M5" s="354" t="s">
        <v>660</v>
      </c>
      <c r="N5" s="355">
        <f>IFERROR((AC116/AC58),0)</f>
        <v>0</v>
      </c>
      <c r="O5" s="365"/>
      <c r="P5" s="365"/>
      <c r="Q5" s="177"/>
      <c r="R5" s="177"/>
      <c r="S5" s="188"/>
      <c r="T5" s="188"/>
      <c r="U5" s="373"/>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60" t="s">
        <v>29</v>
      </c>
      <c r="B6" s="7"/>
      <c r="C6" s="292">
        <f>IFERROR(IF(C12=Lister!A42,110,IF(C8=Lister!O5,5,VLOOKUP(C5,Lister!I20:O45,5,FALSE))),0)</f>
        <v>25</v>
      </c>
      <c r="D6" s="512" t="s">
        <v>31</v>
      </c>
      <c r="E6" s="513"/>
      <c r="F6" s="513"/>
      <c r="G6" s="514" t="str">
        <f>IFERROR(VLOOKUP(C5,Lister!I19:S45,9,FALSE),"Salary and operations")</f>
        <v>Salary and operations</v>
      </c>
      <c r="H6" s="515"/>
      <c r="I6" s="74"/>
      <c r="J6" s="356"/>
      <c r="K6" s="356"/>
      <c r="L6" s="376"/>
      <c r="M6" s="354" t="s">
        <v>724</v>
      </c>
      <c r="N6" s="355">
        <f>IFERROR(AC93/AC63,0)</f>
        <v>0</v>
      </c>
      <c r="O6" s="365"/>
      <c r="P6" s="365"/>
      <c r="Q6" s="177"/>
      <c r="R6" s="377"/>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60" t="s">
        <v>30</v>
      </c>
      <c r="B7" s="7"/>
      <c r="C7" s="292">
        <f>IFERROR(IF(C12=Lister!A42,1460,VLOOKUP(C5,Lister!I20:M45,3,FALSE)),0)</f>
        <v>1485</v>
      </c>
      <c r="D7" s="504" t="s">
        <v>803</v>
      </c>
      <c r="E7" s="505"/>
      <c r="F7" s="506"/>
      <c r="G7" s="516">
        <f>IFERROR(VLOOKUP(C5,Lister!I19:S45,11,FALSE),"Salary and operations")</f>
        <v>0</v>
      </c>
      <c r="H7" s="517"/>
      <c r="I7" s="72"/>
      <c r="J7" s="356"/>
      <c r="K7" s="356"/>
      <c r="L7" s="356"/>
      <c r="M7" s="356"/>
      <c r="N7" s="357"/>
      <c r="O7" s="365"/>
      <c r="P7" s="365"/>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609</v>
      </c>
      <c r="B8" s="7"/>
      <c r="C8" s="498" t="str">
        <f>IFERROR((VLOOKUP(C5,Lister!I20:O45,7,FALSE)),"None")</f>
        <v>None</v>
      </c>
      <c r="D8" s="500"/>
      <c r="E8" s="4" t="s">
        <v>544</v>
      </c>
      <c r="F8" s="4"/>
      <c r="G8" s="366"/>
      <c r="H8" s="296"/>
      <c r="I8" s="69"/>
      <c r="J8" s="374"/>
      <c r="K8" s="374"/>
      <c r="L8" s="374"/>
      <c r="M8" s="4"/>
      <c r="N8" s="365"/>
      <c r="O8" s="365"/>
      <c r="P8" s="365"/>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61" t="s">
        <v>1137</v>
      </c>
      <c r="B9" s="232"/>
      <c r="C9" s="351"/>
      <c r="D9" s="367"/>
      <c r="E9" s="361"/>
      <c r="F9" s="361"/>
      <c r="G9" s="369" t="s">
        <v>1138</v>
      </c>
      <c r="H9" s="351"/>
      <c r="I9" s="271"/>
      <c r="J9" s="378"/>
      <c r="K9" s="374"/>
      <c r="L9" s="374"/>
      <c r="M9" s="365"/>
      <c r="N9" s="365"/>
      <c r="O9" s="365"/>
      <c r="P9" s="365"/>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1325</v>
      </c>
      <c r="B10" s="232"/>
      <c r="C10" s="293" t="str">
        <f>+IF(C2="FOOD","Yes","No")</f>
        <v>No</v>
      </c>
      <c r="D10" s="368"/>
      <c r="E10" s="361"/>
      <c r="F10" s="361"/>
      <c r="G10" s="369"/>
      <c r="H10" s="370"/>
      <c r="I10" s="117"/>
      <c r="J10" s="378"/>
      <c r="K10" s="374"/>
      <c r="L10" s="374"/>
      <c r="M10" s="371"/>
      <c r="N10" s="365"/>
      <c r="O10" s="365"/>
      <c r="P10" s="365"/>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149999999999999" customHeight="1" thickBot="1" x14ac:dyDescent="0.3">
      <c r="A11" s="362" t="s">
        <v>1313</v>
      </c>
      <c r="B11" s="273"/>
      <c r="C11" s="397"/>
      <c r="D11" s="398"/>
      <c r="E11" s="398"/>
      <c r="F11" s="398"/>
      <c r="G11" s="399"/>
      <c r="H11" s="399"/>
      <c r="I11" s="379"/>
      <c r="J11" s="379"/>
      <c r="K11" s="379"/>
      <c r="L11" s="379"/>
      <c r="M11" s="380"/>
      <c r="N11" s="380"/>
      <c r="O11" s="381"/>
      <c r="P11" s="382"/>
      <c r="Q11" s="383"/>
      <c r="R11" s="38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row>
    <row r="12" spans="1:62" s="5" customFormat="1" ht="15.6" customHeight="1" x14ac:dyDescent="0.2">
      <c r="A12" s="116" t="s">
        <v>804</v>
      </c>
      <c r="B12" s="7"/>
      <c r="C12" s="294"/>
      <c r="D12" s="505"/>
      <c r="E12" s="505"/>
      <c r="F12" s="505"/>
      <c r="G12" s="505"/>
      <c r="H12" s="400"/>
      <c r="I12" s="374"/>
      <c r="J12" s="518"/>
      <c r="K12" s="519"/>
      <c r="L12" s="519"/>
      <c r="M12" s="519"/>
      <c r="N12" s="519"/>
      <c r="O12" s="520"/>
      <c r="P12" s="384"/>
      <c r="Q12" s="177"/>
      <c r="R12" s="177"/>
      <c r="S12" s="385"/>
      <c r="T12" s="188"/>
      <c r="U12" s="188"/>
      <c r="V12" s="188"/>
      <c r="W12" s="188"/>
      <c r="X12" s="188"/>
      <c r="Y12" s="188"/>
      <c r="Z12" s="188"/>
      <c r="AA12" s="188"/>
      <c r="AB12" s="188"/>
      <c r="AC12" s="188"/>
      <c r="AD12" s="188"/>
      <c r="AE12" s="385"/>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545</v>
      </c>
      <c r="B13" s="7"/>
      <c r="C13" s="295">
        <f>+IF(C12=2,10,0)</f>
        <v>0</v>
      </c>
      <c r="D13" s="504"/>
      <c r="E13" s="505"/>
      <c r="F13" s="505"/>
      <c r="G13" s="505"/>
      <c r="H13" s="401"/>
      <c r="I13" s="402"/>
      <c r="J13" s="386"/>
      <c r="K13" s="386"/>
      <c r="L13" s="386"/>
      <c r="M13" s="386"/>
      <c r="N13" s="386"/>
      <c r="O13" s="387"/>
      <c r="P13" s="386"/>
      <c r="Q13" s="388"/>
      <c r="R13" s="388"/>
      <c r="T13" s="388"/>
      <c r="U13" s="388"/>
      <c r="V13" s="388"/>
      <c r="W13" s="388"/>
      <c r="X13" s="3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547</v>
      </c>
      <c r="B14" s="9"/>
      <c r="C14" s="295"/>
      <c r="D14" s="507" t="s">
        <v>765</v>
      </c>
      <c r="E14" s="508"/>
      <c r="F14" s="508"/>
      <c r="G14" s="508"/>
      <c r="H14" s="509"/>
      <c r="I14" s="297"/>
      <c r="J14" s="389"/>
      <c r="K14" s="390"/>
      <c r="L14" s="386"/>
      <c r="M14" s="386"/>
      <c r="N14" s="386"/>
      <c r="O14" s="387"/>
      <c r="P14" s="386"/>
      <c r="Q14" s="388"/>
      <c r="R14" s="388"/>
      <c r="T14" s="388"/>
      <c r="U14" s="388"/>
      <c r="V14" s="388"/>
      <c r="W14" s="388"/>
      <c r="X14" s="3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548</v>
      </c>
      <c r="B15" s="7"/>
      <c r="C15" s="295"/>
      <c r="D15" s="403"/>
      <c r="E15" s="391"/>
      <c r="F15" s="391"/>
      <c r="G15" s="391"/>
      <c r="H15" s="391"/>
      <c r="I15" s="261"/>
      <c r="J15" s="391"/>
      <c r="K15" s="391"/>
      <c r="L15" s="384"/>
      <c r="M15" s="386"/>
      <c r="N15" s="386"/>
      <c r="O15" s="387"/>
      <c r="P15" s="386"/>
      <c r="Q15" s="388"/>
      <c r="R15" s="388"/>
      <c r="T15" s="388"/>
      <c r="U15" s="388"/>
      <c r="V15" s="388"/>
      <c r="W15" s="388"/>
      <c r="X15" s="3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805</v>
      </c>
      <c r="B16" s="7"/>
      <c r="C16" s="295"/>
      <c r="D16" s="507" t="s">
        <v>766</v>
      </c>
      <c r="E16" s="510"/>
      <c r="F16" s="510"/>
      <c r="G16" s="510"/>
      <c r="H16" s="511"/>
      <c r="I16" s="298"/>
      <c r="J16" s="389"/>
      <c r="K16" s="390"/>
      <c r="L16" s="392"/>
      <c r="M16" s="392"/>
      <c r="N16" s="392"/>
      <c r="O16" s="393"/>
      <c r="P16" s="394"/>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s="5" customFormat="1" ht="15.75" thickBot="1" x14ac:dyDescent="0.3">
      <c r="A17" s="363"/>
      <c r="B17" s="117"/>
      <c r="C17" s="257"/>
      <c r="D17" s="118"/>
      <c r="E17" s="258"/>
      <c r="F17" s="258"/>
      <c r="G17" s="258"/>
      <c r="H17" s="259"/>
      <c r="I17" s="259"/>
      <c r="J17" s="395"/>
      <c r="K17" s="395"/>
      <c r="L17" s="395"/>
      <c r="M17" s="395"/>
      <c r="N17" s="395"/>
      <c r="O17" s="396"/>
      <c r="P17" s="394"/>
      <c r="Q17" s="177"/>
      <c r="R17" s="17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row>
    <row r="18" spans="1:62" ht="15.6" customHeight="1" x14ac:dyDescent="0.2">
      <c r="A18" s="63"/>
      <c r="D18" s="9"/>
      <c r="S18" s="240"/>
      <c r="V18" s="240" t="s">
        <v>658</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3" t="s">
        <v>34</v>
      </c>
      <c r="AF19" s="502"/>
      <c r="AH19" s="501">
        <f>+S19</f>
        <v>2025</v>
      </c>
      <c r="AI19" s="502"/>
      <c r="AJ19" s="232"/>
      <c r="AK19" s="503">
        <f>+T19</f>
        <v>2026</v>
      </c>
      <c r="AL19" s="502"/>
      <c r="AM19" s="232"/>
      <c r="AN19" s="503">
        <f>+U19</f>
        <v>2027</v>
      </c>
      <c r="AO19" s="502"/>
      <c r="AQ19" s="503">
        <f>+V19</f>
        <v>2028</v>
      </c>
      <c r="AR19" s="502"/>
      <c r="AS19" s="232"/>
      <c r="AT19" s="503">
        <f>+W19</f>
        <v>2029</v>
      </c>
      <c r="AU19" s="502"/>
      <c r="AW19" s="503">
        <f>+X19</f>
        <v>2030</v>
      </c>
      <c r="AX19" s="502"/>
      <c r="AY19" s="232"/>
      <c r="AZ19" s="503">
        <f>Y19</f>
        <v>2031</v>
      </c>
      <c r="BA19" s="502"/>
      <c r="BB19" s="232"/>
      <c r="BC19" s="503">
        <f>+Z19</f>
        <v>2032</v>
      </c>
      <c r="BD19" s="502"/>
      <c r="BE19" s="232"/>
      <c r="BF19" s="503">
        <f>+AA19</f>
        <v>2033</v>
      </c>
      <c r="BG19" s="502"/>
      <c r="BH19" s="232"/>
      <c r="BI19" s="503">
        <f>+AB19</f>
        <v>2034</v>
      </c>
      <c r="BJ19" s="502"/>
    </row>
    <row r="20" spans="1:62" ht="15.6" customHeight="1" x14ac:dyDescent="0.2">
      <c r="A20" s="223" t="s">
        <v>794</v>
      </c>
      <c r="B20" s="224" t="str">
        <f>+VLOOKUP(A20,Takstblad!$A$5:$B$30,2,FALSE)</f>
        <v/>
      </c>
      <c r="C20" s="299"/>
      <c r="D20" s="299">
        <v>3</v>
      </c>
      <c r="E20" s="299">
        <v>3</v>
      </c>
      <c r="F20" s="299">
        <v>3</v>
      </c>
      <c r="G20" s="299">
        <v>3</v>
      </c>
      <c r="H20" s="299"/>
      <c r="I20" s="299"/>
      <c r="J20" s="299"/>
      <c r="K20" s="299"/>
      <c r="L20" s="299"/>
      <c r="M20" s="19">
        <f>SUM(C20:L20)</f>
        <v>12</v>
      </c>
      <c r="N20" s="299"/>
      <c r="O20" s="299" t="s">
        <v>152</v>
      </c>
      <c r="P20" s="223"/>
      <c r="Q20" s="225"/>
      <c r="R20" s="227">
        <f>+AC20</f>
        <v>909600</v>
      </c>
      <c r="S20" s="226">
        <f>+IFERROR(IF(S$19=Takstblad!C$3,VLOOKUP('B1'!$A20,takstblad,3,FALSE)*'B1'!C20,"fejl i år"),0)</f>
        <v>0</v>
      </c>
      <c r="T20" s="226">
        <f>+IFERROR(IF(T$19=Takstblad!D$3,VLOOKUP('B1'!$A20,takstblad,4,FALSE)*'B1'!D20,"fejl i år"),0)</f>
        <v>217200</v>
      </c>
      <c r="U20" s="226">
        <f>+IFERROR(IF(U$19=Takstblad!E$3,VLOOKUP('B1'!$A20,takstblad,5,FALSE)*'B1'!E20,"fejl i år"),0)</f>
        <v>223800</v>
      </c>
      <c r="V20" s="226">
        <f>+IFERROR(IF(V$19=Takstblad!F$3,VLOOKUP('B1'!$A20,takstblad,6,FALSE)*'B1'!F20,"fejl i år"),0)</f>
        <v>230700</v>
      </c>
      <c r="W20" s="226">
        <f>+IFERROR(IF(W$19=Takstblad!G$3,VLOOKUP('B1'!$A20,takstblad,7,FALSE)*'B1'!G20,"fejl i år"),0)</f>
        <v>237900</v>
      </c>
      <c r="X20" s="226">
        <f>+IFERROR(IF(X$19=Takstblad!H$3,VLOOKUP('B1'!$A20,takstblad,8,FALSE)*'B1'!H20,"fejl i år"),0)</f>
        <v>0</v>
      </c>
      <c r="Y20" s="226">
        <f>+IFERROR(IF(Y$19=Takstblad!I$3,VLOOKUP('B1'!$A20,takstblad,9,FALSE)*'B1'!I20,"fejl i år"),0)</f>
        <v>0</v>
      </c>
      <c r="Z20" s="226">
        <f>+IFERROR(IF(Z$19=Takstblad!J$3,VLOOKUP('B1'!$A20,takstblad,10,FALSE)*'B1'!J20,"fejl i år"),0)</f>
        <v>0</v>
      </c>
      <c r="AA20" s="226">
        <f>+IFERROR(IF(AA$19=Takstblad!K$3,VLOOKUP('B1'!$A20,takstblad,10,FALSE)*'B1'!K20,"fejl i år"),0)</f>
        <v>0</v>
      </c>
      <c r="AB20" s="226">
        <f>+IFERROR(IF(AB$19=Takstblad!L$3,VLOOKUP('B1'!$A20,takstblad,10,FALSE)*'B1'!L20,"fejl i år"),0)</f>
        <v>0</v>
      </c>
      <c r="AC20" s="227">
        <f>SUM(S20:AB20)</f>
        <v>909600</v>
      </c>
      <c r="AD20" s="232"/>
      <c r="AE20" s="228">
        <f>+M20*($C$7/12)</f>
        <v>1485</v>
      </c>
      <c r="AF20" s="228">
        <f>IFERROR(AC20/AE20,0)</f>
        <v>612.52525252525254</v>
      </c>
      <c r="AG20" s="232"/>
      <c r="AH20" s="228">
        <f>+C20*($C$7/12)</f>
        <v>0</v>
      </c>
      <c r="AI20" s="228">
        <f>IFERROR(S20/AH20,0)</f>
        <v>0</v>
      </c>
      <c r="AJ20" s="232"/>
      <c r="AK20" s="228">
        <f>+D20*($C$7/12)</f>
        <v>371.25</v>
      </c>
      <c r="AL20" s="228">
        <f>IFERROR(T20/AK20,0)</f>
        <v>585.05050505050508</v>
      </c>
      <c r="AM20" s="232"/>
      <c r="AN20" s="228">
        <f>+E20*($C$7/12)</f>
        <v>371.25</v>
      </c>
      <c r="AO20" s="228">
        <f>IFERROR(U20/AN20,0)</f>
        <v>602.82828282828279</v>
      </c>
      <c r="AP20" s="232"/>
      <c r="AQ20" s="228">
        <f>+F20*($C$7/12)</f>
        <v>371.25</v>
      </c>
      <c r="AR20" s="228">
        <f>IFERROR(V20/AQ20,0)</f>
        <v>621.41414141414145</v>
      </c>
      <c r="AS20" s="232"/>
      <c r="AT20" s="228">
        <f>+G20*($C$7/12)</f>
        <v>371.25</v>
      </c>
      <c r="AU20" s="228">
        <f>IFERROR(W20/AT20,0)</f>
        <v>640.80808080808083</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798</v>
      </c>
      <c r="B21" s="4" t="str">
        <f>+VLOOKUP(A21,Takstblad!$A$5:$B$30,2,FALSE)</f>
        <v/>
      </c>
      <c r="C21" s="299"/>
      <c r="D21" s="299">
        <v>3</v>
      </c>
      <c r="E21" s="299">
        <v>3</v>
      </c>
      <c r="F21" s="299">
        <v>3</v>
      </c>
      <c r="G21" s="299">
        <v>3</v>
      </c>
      <c r="H21" s="299"/>
      <c r="I21" s="299"/>
      <c r="J21" s="299"/>
      <c r="K21" s="299"/>
      <c r="L21" s="299"/>
      <c r="M21" s="19">
        <f t="shared" ref="M21:M29" si="6">SUM(C21:L21)</f>
        <v>12</v>
      </c>
      <c r="N21" s="299"/>
      <c r="O21" s="299" t="s">
        <v>152</v>
      </c>
      <c r="Q21" s="24"/>
      <c r="R21" s="21">
        <f t="shared" ref="R21:R30" si="7">+AC21</f>
        <v>708300</v>
      </c>
      <c r="S21" s="25">
        <f>+IFERROR(IF(S$19=Takstblad!C$3,VLOOKUP('B1'!$A21,takstblad,3,FALSE)*'B1'!C21,"fejl i år"),0)</f>
        <v>0</v>
      </c>
      <c r="T21" s="25">
        <f>+IFERROR(IF(T$19=Takstblad!D$3,VLOOKUP('B1'!$A21,takstblad,4,FALSE)*'B1'!D21,"fejl i år"),0)</f>
        <v>169200</v>
      </c>
      <c r="U21" s="25">
        <f>+IFERROR(IF(U$19=Takstblad!E$3,VLOOKUP('B1'!$A21,takstblad,5,FALSE)*'B1'!E21,"fejl i år"),0)</f>
        <v>174300</v>
      </c>
      <c r="V21" s="25">
        <f>+IFERROR(IF(V$19=Takstblad!F$3,VLOOKUP('B1'!$A21,takstblad,6,FALSE)*'B1'!F21,"fejl i år"),0)</f>
        <v>179700</v>
      </c>
      <c r="W21" s="25">
        <f>+IFERROR(IF(W$19=Takstblad!G$3,VLOOKUP('B1'!$A21,takstblad,7,FALSE)*'B1'!G21,"fejl i år"),0)</f>
        <v>185100</v>
      </c>
      <c r="X21" s="25">
        <f>+IFERROR(IF(X$19=Takstblad!H$3,VLOOKUP('B1'!$A21,takstblad,8,FALSE)*'B1'!H21,"fejl i år"),0)</f>
        <v>0</v>
      </c>
      <c r="Y21" s="25">
        <f>+IFERROR(IF(Y$19=Takstblad!I$3,VLOOKUP('B1'!$A21,takstblad,9,FALSE)*'B1'!I21,"fejl i år"),0)</f>
        <v>0</v>
      </c>
      <c r="Z21" s="25">
        <f>+IFERROR(IF(Z$19=Takstblad!J$3,VLOOKUP('B1'!$A21,takstblad,10,FALSE)*'B1'!J21,"fejl i år"),0)</f>
        <v>0</v>
      </c>
      <c r="AA21" s="25">
        <f>+IFERROR(IF(AA$19=Takstblad!K$3,VLOOKUP('B1'!$A21,takstblad,10,FALSE)*'B1'!K21,"fejl i år"),0)</f>
        <v>0</v>
      </c>
      <c r="AB21" s="25">
        <f>+IFERROR(IF(AB$19=Takstblad!L$3,VLOOKUP('B1'!$A21,takstblad,10,FALSE)*'B1'!L21,"fejl i år"),0)</f>
        <v>0</v>
      </c>
      <c r="AC21" s="21">
        <f t="shared" ref="AC21:AC30" si="8">SUM(S21:AB21)</f>
        <v>708300</v>
      </c>
      <c r="AD21" s="232"/>
      <c r="AE21" s="25">
        <f t="shared" ref="AE21:AE29" si="9">+M21*($C$7/12)</f>
        <v>1485</v>
      </c>
      <c r="AF21" s="25">
        <f t="shared" ref="AF21:AF30" si="10">IFERROR(AC21/AE21,0)</f>
        <v>476.969696969697</v>
      </c>
      <c r="AG21" s="232"/>
      <c r="AH21" s="25">
        <f t="shared" ref="AH21:AH29" si="11">+C21*($C$7/12)</f>
        <v>0</v>
      </c>
      <c r="AI21" s="25">
        <f t="shared" ref="AI21:AI30" si="12">IFERROR(S21/AH21,0)</f>
        <v>0</v>
      </c>
      <c r="AJ21" s="232"/>
      <c r="AK21" s="25">
        <f t="shared" ref="AK21:AK29" si="13">+D21*($C$7/12)</f>
        <v>371.25</v>
      </c>
      <c r="AL21" s="25">
        <f t="shared" ref="AL21:AL30" si="14">IFERROR(T21/AK21,0)</f>
        <v>455.75757575757575</v>
      </c>
      <c r="AM21" s="232"/>
      <c r="AN21" s="25">
        <f t="shared" ref="AN21:AN29" si="15">+E21*($C$7/12)</f>
        <v>371.25</v>
      </c>
      <c r="AO21" s="25">
        <f t="shared" ref="AO21:AO30" si="16">IFERROR(U21/AN21,0)</f>
        <v>469.49494949494948</v>
      </c>
      <c r="AP21" s="232"/>
      <c r="AQ21" s="25">
        <f t="shared" ref="AQ21:AQ29" si="17">+F21*($C$7/12)</f>
        <v>371.25</v>
      </c>
      <c r="AR21" s="25">
        <f t="shared" ref="AR21:AR30" si="18">IFERROR(V21/AQ21,0)</f>
        <v>484.04040404040404</v>
      </c>
      <c r="AS21" s="232"/>
      <c r="AT21" s="25">
        <f t="shared" ref="AT21:AT29" si="19">+G21*($C$7/12)</f>
        <v>371.25</v>
      </c>
      <c r="AU21" s="25">
        <f t="shared" ref="AU21:AU30" si="20">IFERROR(W21/AT21,0)</f>
        <v>498.5858585858586</v>
      </c>
      <c r="AV21" s="232"/>
      <c r="AW21" s="25">
        <f t="shared" ref="AW21:AW29" si="21">+H21*($C$7/12)</f>
        <v>0</v>
      </c>
      <c r="AX21" s="25">
        <f t="shared" ref="AX21:AX30"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1322</v>
      </c>
      <c r="B22" s="224" t="str">
        <f>+VLOOKUP(A22,Takstblad!$A$5:$B$30,2,FALSE)</f>
        <v>PhD</v>
      </c>
      <c r="C22" s="299"/>
      <c r="D22" s="299">
        <v>12</v>
      </c>
      <c r="E22" s="299">
        <v>12</v>
      </c>
      <c r="F22" s="299">
        <v>12</v>
      </c>
      <c r="G22" s="299"/>
      <c r="H22" s="299"/>
      <c r="I22" s="299"/>
      <c r="J22" s="299"/>
      <c r="K22" s="299"/>
      <c r="L22" s="299"/>
      <c r="M22" s="19">
        <f t="shared" si="6"/>
        <v>36</v>
      </c>
      <c r="N22" s="299"/>
      <c r="O22" s="299" t="s">
        <v>113</v>
      </c>
      <c r="P22" s="223"/>
      <c r="Q22" s="225"/>
      <c r="R22" s="227">
        <f t="shared" si="7"/>
        <v>1686000</v>
      </c>
      <c r="S22" s="226">
        <f>+IFERROR(IF(S$19=Takstblad!C$3,VLOOKUP('B1'!$A22,takstblad,3,FALSE)*'B1'!C22,"fejl i år"),0)</f>
        <v>0</v>
      </c>
      <c r="T22" s="226">
        <f>+IFERROR(IF(T$19=Takstblad!D$3,VLOOKUP('B1'!$A22,takstblad,4,FALSE)*'B1'!D22,"fejl i år"),0)</f>
        <v>544800</v>
      </c>
      <c r="U22" s="226">
        <f>+IFERROR(IF(U$19=Takstblad!E$3,VLOOKUP('B1'!$A22,takstblad,5,FALSE)*'B1'!E22,"fejl i år"),0)</f>
        <v>561600</v>
      </c>
      <c r="V22" s="226">
        <f>+IFERROR(IF(V$19=Takstblad!F$3,VLOOKUP('B1'!$A22,takstblad,6,FALSE)*'B1'!F22,"fejl i år"),0)</f>
        <v>579600</v>
      </c>
      <c r="W22" s="226">
        <f>+IFERROR(IF(W$19=Takstblad!G$3,VLOOKUP('B1'!$A22,takstblad,7,FALSE)*'B1'!G22,"fejl i år"),0)</f>
        <v>0</v>
      </c>
      <c r="X22" s="226">
        <f>+IFERROR(IF(X$19=Takstblad!H$3,VLOOKUP('B1'!$A22,takstblad,8,FALSE)*'B1'!H22,"fejl i år"),0)</f>
        <v>0</v>
      </c>
      <c r="Y22" s="226">
        <f>+IFERROR(IF(Y$19=Takstblad!I$3,VLOOKUP('B1'!$A22,takstblad,9,FALSE)*'B1'!I22,"fejl i år"),0)</f>
        <v>0</v>
      </c>
      <c r="Z22" s="226">
        <f>+IFERROR(IF(Z$19=Takstblad!J$3,VLOOKUP('B1'!$A22,takstblad,10,FALSE)*'B1'!J22,"fejl i år"),0)</f>
        <v>0</v>
      </c>
      <c r="AA22" s="226">
        <f>+IFERROR(IF(AA$19=Takstblad!K$3,VLOOKUP('B1'!$A22,takstblad,10,FALSE)*'B1'!K22,"fejl i år"),0)</f>
        <v>0</v>
      </c>
      <c r="AB22" s="226">
        <f>+IFERROR(IF(AB$19=Takstblad!L$3,VLOOKUP('B1'!$A22,takstblad,10,FALSE)*'B1'!L22,"fejl i år"),0)</f>
        <v>0</v>
      </c>
      <c r="AC22" s="227">
        <f t="shared" si="8"/>
        <v>1686000</v>
      </c>
      <c r="AD22" s="232"/>
      <c r="AE22" s="228">
        <f t="shared" si="9"/>
        <v>4455</v>
      </c>
      <c r="AF22" s="228">
        <f t="shared" si="10"/>
        <v>378.45117845117846</v>
      </c>
      <c r="AG22" s="232"/>
      <c r="AH22" s="228">
        <f t="shared" si="11"/>
        <v>0</v>
      </c>
      <c r="AI22" s="228">
        <f t="shared" si="12"/>
        <v>0</v>
      </c>
      <c r="AJ22" s="232"/>
      <c r="AK22" s="228">
        <f t="shared" si="13"/>
        <v>1485</v>
      </c>
      <c r="AL22" s="228">
        <f t="shared" si="14"/>
        <v>366.86868686868689</v>
      </c>
      <c r="AM22" s="232"/>
      <c r="AN22" s="228">
        <f t="shared" si="15"/>
        <v>1485</v>
      </c>
      <c r="AO22" s="228">
        <f t="shared" si="16"/>
        <v>378.18181818181819</v>
      </c>
      <c r="AP22" s="232"/>
      <c r="AQ22" s="228">
        <f t="shared" si="17"/>
        <v>1485</v>
      </c>
      <c r="AR22" s="228">
        <f t="shared" si="18"/>
        <v>390.30303030303031</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1314</v>
      </c>
      <c r="B23" s="4" t="str">
        <f>+VLOOKUP(A23,Takstblad!$A$5:$B$30,2,FALSE)</f>
        <v/>
      </c>
      <c r="C23" s="299"/>
      <c r="D23" s="299"/>
      <c r="E23" s="299"/>
      <c r="F23" s="299"/>
      <c r="G23" s="299"/>
      <c r="H23" s="299"/>
      <c r="I23" s="299"/>
      <c r="J23" s="299"/>
      <c r="K23" s="299"/>
      <c r="L23" s="299"/>
      <c r="M23" s="19">
        <f t="shared" si="6"/>
        <v>0</v>
      </c>
      <c r="N23" s="299"/>
      <c r="O23" s="299" t="s">
        <v>113</v>
      </c>
      <c r="Q23" s="16"/>
      <c r="R23" s="21">
        <f t="shared" si="7"/>
        <v>0</v>
      </c>
      <c r="S23" s="25">
        <f>+IFERROR(IF(S$19=Takstblad!C$3,VLOOKUP('B1'!$A23,takstblad,3,FALSE)*'B1'!C23,"fejl i år"),0)</f>
        <v>0</v>
      </c>
      <c r="T23" s="25">
        <f>+IFERROR(IF(T$19=Takstblad!D$3,VLOOKUP('B1'!$A23,takstblad,4,FALSE)*'B1'!D23,"fejl i år"),0)</f>
        <v>0</v>
      </c>
      <c r="U23" s="25">
        <f>+IFERROR(IF(U$19=Takstblad!E$3,VLOOKUP('B1'!$A23,takstblad,5,FALSE)*'B1'!E23,"fejl i år"),0)</f>
        <v>0</v>
      </c>
      <c r="V23" s="25">
        <f>+IFERROR(IF(V$19=Takstblad!F$3,VLOOKUP('B1'!$A23,takstblad,6,FALSE)*'B1'!F23,"fejl i år"),0)</f>
        <v>0</v>
      </c>
      <c r="W23" s="25">
        <f>+IFERROR(IF(W$19=Takstblad!G$3,VLOOKUP('B1'!$A23,takstblad,7,FALSE)*'B1'!G23,"fejl i år"),0)</f>
        <v>0</v>
      </c>
      <c r="X23" s="25">
        <f>+IFERROR(IF(X$19=Takstblad!H$3,VLOOKUP('B1'!$A23,takstblad,8,FALSE)*'B1'!H23,"fejl i år"),0)</f>
        <v>0</v>
      </c>
      <c r="Y23" s="25">
        <f>+IFERROR(IF(Y$19=Takstblad!I$3,VLOOKUP('B1'!$A23,takstblad,9,FALSE)*'B1'!I23,"fejl i år"),0)</f>
        <v>0</v>
      </c>
      <c r="Z23" s="25">
        <f>+IFERROR(IF(Z$19=Takstblad!J$3,VLOOKUP('B1'!$A23,takstblad,10,FALSE)*'B1'!J23,"fejl i år"),0)</f>
        <v>0</v>
      </c>
      <c r="AA23" s="25">
        <f>+IFERROR(IF(AA$19=Takstblad!K$3,VLOOKUP('B1'!$A23,takstblad,10,FALSE)*'B1'!K23,"fejl i år"),0)</f>
        <v>0</v>
      </c>
      <c r="AB23" s="25">
        <f>+IFERROR(IF(AB$19=Takstblad!L$3,VLOOKUP('B1'!$A23,takstblad,10,FALSE)*'B1'!L23,"fejl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1314</v>
      </c>
      <c r="B24" s="224" t="str">
        <f>+VLOOKUP(A24,Takstblad!$A$5:$B$30,2,FALSE)</f>
        <v/>
      </c>
      <c r="C24" s="299"/>
      <c r="D24" s="299"/>
      <c r="E24" s="299"/>
      <c r="F24" s="299"/>
      <c r="G24" s="299"/>
      <c r="H24" s="299"/>
      <c r="I24" s="299"/>
      <c r="J24" s="299"/>
      <c r="K24" s="299"/>
      <c r="L24" s="299"/>
      <c r="M24" s="19">
        <f t="shared" si="6"/>
        <v>0</v>
      </c>
      <c r="N24" s="299"/>
      <c r="O24" s="299" t="s">
        <v>113</v>
      </c>
      <c r="P24" s="223"/>
      <c r="Q24" s="225"/>
      <c r="R24" s="227">
        <f t="shared" si="7"/>
        <v>0</v>
      </c>
      <c r="S24" s="226">
        <f>+IFERROR(IF(S$19=Takstblad!C$3,VLOOKUP('B1'!$A24,takstblad,3,FALSE)*'B1'!C24,"fejl i år"),0)</f>
        <v>0</v>
      </c>
      <c r="T24" s="226">
        <f>+IFERROR(IF(T$19=Takstblad!D$3,VLOOKUP('B1'!$A24,takstblad,4,FALSE)*'B1'!D24,"fejl i år"),0)</f>
        <v>0</v>
      </c>
      <c r="U24" s="226">
        <f>+IFERROR(IF(U$19=Takstblad!E$3,VLOOKUP('B1'!$A24,takstblad,5,FALSE)*'B1'!E24,"fejl i år"),0)</f>
        <v>0</v>
      </c>
      <c r="V24" s="226">
        <f>+IFERROR(IF(V$19=Takstblad!F$3,VLOOKUP('B1'!$A24,takstblad,6,FALSE)*'B1'!F24,"fejl i år"),0)</f>
        <v>0</v>
      </c>
      <c r="W24" s="226">
        <f>+IFERROR(IF(W$19=Takstblad!G$3,VLOOKUP('B1'!$A24,takstblad,7,FALSE)*'B1'!G24,"fejl i år"),0)</f>
        <v>0</v>
      </c>
      <c r="X24" s="226">
        <f>+IFERROR(IF(X$19=Takstblad!H$3,VLOOKUP('B1'!$A24,takstblad,8,FALSE)*'B1'!H24,"fejl i år"),0)</f>
        <v>0</v>
      </c>
      <c r="Y24" s="226">
        <f>+IFERROR(IF(Y$19=Takstblad!I$3,VLOOKUP('B1'!$A24,takstblad,9,FALSE)*'B1'!I24,"fejl i år"),0)</f>
        <v>0</v>
      </c>
      <c r="Z24" s="226">
        <f>+IFERROR(IF(Z$19=Takstblad!J$3,VLOOKUP('B1'!$A24,takstblad,10,FALSE)*'B1'!J24,"fejl i år"),0)</f>
        <v>0</v>
      </c>
      <c r="AA24" s="226">
        <f>+IFERROR(IF(AA$19=Takstblad!K$3,VLOOKUP('B1'!$A24,takstblad,10,FALSE)*'B1'!K24,"fejl i år"),0)</f>
        <v>0</v>
      </c>
      <c r="AB24" s="226">
        <f>+IFERROR(IF(AB$19=Takstblad!L$3,VLOOKUP('B1'!$A24,takstblad,10,FALSE)*'B1'!L24,"fejl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1314</v>
      </c>
      <c r="B25" s="4" t="str">
        <f>+VLOOKUP(A25,Takstblad!$A$5:$B$30,2,FALSE)</f>
        <v/>
      </c>
      <c r="C25" s="299"/>
      <c r="D25" s="299"/>
      <c r="E25" s="299"/>
      <c r="F25" s="299"/>
      <c r="G25" s="299"/>
      <c r="H25" s="299"/>
      <c r="I25" s="299"/>
      <c r="J25" s="299"/>
      <c r="K25" s="299"/>
      <c r="L25" s="299"/>
      <c r="M25" s="19">
        <f t="shared" si="6"/>
        <v>0</v>
      </c>
      <c r="N25" s="299"/>
      <c r="O25" s="299" t="s">
        <v>113</v>
      </c>
      <c r="Q25" s="16"/>
      <c r="R25" s="21">
        <f t="shared" si="7"/>
        <v>0</v>
      </c>
      <c r="S25" s="25">
        <f>+IFERROR(IF(S$19=Takstblad!C$3,VLOOKUP('B1'!$A25,takstblad,3,FALSE)*'B1'!C25,"fejl i år"),0)</f>
        <v>0</v>
      </c>
      <c r="T25" s="25">
        <f>+IFERROR(IF(T$19=Takstblad!D$3,VLOOKUP('B1'!$A25,takstblad,4,FALSE)*'B1'!D25,"fejl i år"),0)</f>
        <v>0</v>
      </c>
      <c r="U25" s="25">
        <f>+IFERROR(IF(U$19=Takstblad!E$3,VLOOKUP('B1'!$A25,takstblad,5,FALSE)*'B1'!E25,"fejl i år"),0)</f>
        <v>0</v>
      </c>
      <c r="V25" s="25">
        <f>+IFERROR(IF(V$19=Takstblad!F$3,VLOOKUP('B1'!$A25,takstblad,6,FALSE)*'B1'!F25,"fejl i år"),0)</f>
        <v>0</v>
      </c>
      <c r="W25" s="25">
        <f>+IFERROR(IF(W$19=Takstblad!G$3,VLOOKUP('B1'!$A25,takstblad,7,FALSE)*'B1'!G25,"fejl i år"),0)</f>
        <v>0</v>
      </c>
      <c r="X25" s="25">
        <f>+IFERROR(IF(X$19=Takstblad!H$3,VLOOKUP('B1'!$A25,takstblad,8,FALSE)*'B1'!H25,"fejl i år"),0)</f>
        <v>0</v>
      </c>
      <c r="Y25" s="25">
        <f>+IFERROR(IF(Y$19=Takstblad!I$3,VLOOKUP('B1'!$A25,takstblad,9,FALSE)*'B1'!I25,"fejl i år"),0)</f>
        <v>0</v>
      </c>
      <c r="Z25" s="25">
        <f>+IFERROR(IF(Z$19=Takstblad!J$3,VLOOKUP('B1'!$A25,takstblad,10,FALSE)*'B1'!J25,"fejl i år"),0)</f>
        <v>0</v>
      </c>
      <c r="AA25" s="25">
        <f>+IFERROR(IF(AA$19=Takstblad!K$3,VLOOKUP('B1'!$A25,takstblad,10,FALSE)*'B1'!K25,"fejl i år"),0)</f>
        <v>0</v>
      </c>
      <c r="AB25" s="25">
        <f>+IFERROR(IF(AB$19=Takstblad!L$3,VLOOKUP('B1'!$A25,takstblad,10,FALSE)*'B1'!L25,"fejl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1314</v>
      </c>
      <c r="B26" s="224" t="str">
        <f>+VLOOKUP(A26,Takstblad!$A$5:$B$30,2,FALSE)</f>
        <v/>
      </c>
      <c r="C26" s="299"/>
      <c r="D26" s="299"/>
      <c r="E26" s="299"/>
      <c r="F26" s="299"/>
      <c r="G26" s="299"/>
      <c r="H26" s="299"/>
      <c r="I26" s="299"/>
      <c r="J26" s="299"/>
      <c r="K26" s="299"/>
      <c r="L26" s="299"/>
      <c r="M26" s="19">
        <f t="shared" si="6"/>
        <v>0</v>
      </c>
      <c r="N26" s="299"/>
      <c r="O26" s="299" t="s">
        <v>113</v>
      </c>
      <c r="P26" s="223"/>
      <c r="Q26" s="225"/>
      <c r="R26" s="227">
        <f t="shared" si="7"/>
        <v>0</v>
      </c>
      <c r="S26" s="226">
        <f>+IFERROR(IF(S$19=Takstblad!C$3,VLOOKUP('B1'!$A26,takstblad,3,FALSE)*'B1'!C26,"fejl i år"),0)</f>
        <v>0</v>
      </c>
      <c r="T26" s="226">
        <f>+IFERROR(IF(T$19=Takstblad!D$3,VLOOKUP('B1'!$A26,takstblad,4,FALSE)*'B1'!D26,"fejl i år"),0)</f>
        <v>0</v>
      </c>
      <c r="U26" s="226">
        <f>+IFERROR(IF(U$19=Takstblad!E$3,VLOOKUP('B1'!$A26,takstblad,5,FALSE)*'B1'!E26,"fejl i år"),0)</f>
        <v>0</v>
      </c>
      <c r="V26" s="226">
        <f>+IFERROR(IF(V$19=Takstblad!F$3,VLOOKUP('B1'!$A26,takstblad,6,FALSE)*'B1'!F26,"fejl i år"),0)</f>
        <v>0</v>
      </c>
      <c r="W26" s="226">
        <f>+IFERROR(IF(W$19=Takstblad!G$3,VLOOKUP('B1'!$A26,takstblad,7,FALSE)*'B1'!G26,"fejl i år"),0)</f>
        <v>0</v>
      </c>
      <c r="X26" s="226">
        <f>+IFERROR(IF(X$19=Takstblad!H$3,VLOOKUP('B1'!$A26,takstblad,8,FALSE)*'B1'!H26,"fejl i år"),0)</f>
        <v>0</v>
      </c>
      <c r="Y26" s="226">
        <f>+IFERROR(IF(Y$19=Takstblad!I$3,VLOOKUP('B1'!$A26,takstblad,9,FALSE)*'B1'!I26,"fejl i år"),0)</f>
        <v>0</v>
      </c>
      <c r="Z26" s="226">
        <f>+IFERROR(IF(Z$19=Takstblad!J$3,VLOOKUP('B1'!$A26,takstblad,10,FALSE)*'B1'!J26,"fejl i år"),0)</f>
        <v>0</v>
      </c>
      <c r="AA26" s="226">
        <f>+IFERROR(IF(AA$19=Takstblad!K$3,VLOOKUP('B1'!$A26,takstblad,10,FALSE)*'B1'!K26,"fejl i år"),0)</f>
        <v>0</v>
      </c>
      <c r="AB26" s="226">
        <f>+IFERROR(IF(AB$19=Takstblad!L$3,VLOOKUP('B1'!$A26,takstblad,10,FALSE)*'B1'!L26,"fejl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1314</v>
      </c>
      <c r="B27" s="4" t="str">
        <f>+VLOOKUP(A27,Takstblad!$A$5:$B$30,2,FALSE)</f>
        <v/>
      </c>
      <c r="C27" s="299"/>
      <c r="D27" s="299"/>
      <c r="E27" s="299"/>
      <c r="F27" s="299"/>
      <c r="G27" s="299"/>
      <c r="H27" s="299"/>
      <c r="I27" s="299"/>
      <c r="J27" s="299"/>
      <c r="K27" s="299"/>
      <c r="L27" s="299"/>
      <c r="M27" s="19">
        <f t="shared" si="6"/>
        <v>0</v>
      </c>
      <c r="N27" s="299"/>
      <c r="O27" s="299" t="s">
        <v>113</v>
      </c>
      <c r="Q27" s="16"/>
      <c r="R27" s="21">
        <f t="shared" si="7"/>
        <v>0</v>
      </c>
      <c r="S27" s="25">
        <f>+IFERROR(IF(S$19=Takstblad!C$3,VLOOKUP('B1'!$A27,takstblad,3,FALSE)*'B1'!C27,"fejl i år"),0)</f>
        <v>0</v>
      </c>
      <c r="T27" s="25">
        <f>+IFERROR(IF(T$19=Takstblad!D$3,VLOOKUP('B1'!$A27,takstblad,4,FALSE)*'B1'!D27,"fejl i år"),0)</f>
        <v>0</v>
      </c>
      <c r="U27" s="25">
        <f>+IFERROR(IF(U$19=Takstblad!E$3,VLOOKUP('B1'!$A27,takstblad,5,FALSE)*'B1'!E27,"fejl i år"),0)</f>
        <v>0</v>
      </c>
      <c r="V27" s="25">
        <f>+IFERROR(IF(V$19=Takstblad!F$3,VLOOKUP('B1'!$A27,takstblad,6,FALSE)*'B1'!F27,"fejl i år"),0)</f>
        <v>0</v>
      </c>
      <c r="W27" s="25">
        <f>+IFERROR(IF(W$19=Takstblad!G$3,VLOOKUP('B1'!$A27,takstblad,7,FALSE)*'B1'!G27,"fejl i år"),0)</f>
        <v>0</v>
      </c>
      <c r="X27" s="25">
        <f>+IFERROR(IF(X$19=Takstblad!H$3,VLOOKUP('B1'!$A27,takstblad,8,FALSE)*'B1'!H27,"fejl i år"),0)</f>
        <v>0</v>
      </c>
      <c r="Y27" s="25">
        <f>+IFERROR(IF(Y$19=Takstblad!I$3,VLOOKUP('B1'!$A27,takstblad,9,FALSE)*'B1'!I27,"fejl i år"),0)</f>
        <v>0</v>
      </c>
      <c r="Z27" s="25">
        <f>+IFERROR(IF(Z$19=Takstblad!J$3,VLOOKUP('B1'!$A27,takstblad,10,FALSE)*'B1'!J27,"fejl i år"),0)</f>
        <v>0</v>
      </c>
      <c r="AA27" s="25">
        <f>+IFERROR(IF(AA$19=Takstblad!K$3,VLOOKUP('B1'!$A27,takstblad,10,FALSE)*'B1'!K27,"fejl i år"),0)</f>
        <v>0</v>
      </c>
      <c r="AB27" s="25">
        <f>+IFERROR(IF(AB$19=Takstblad!L$3,VLOOKUP('B1'!$A27,takstblad,10,FALSE)*'B1'!L27,"fejl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1314</v>
      </c>
      <c r="B28" s="224" t="str">
        <f>+VLOOKUP(A28,Takstblad!$A$5:$B$30,2,FALSE)</f>
        <v/>
      </c>
      <c r="C28" s="299"/>
      <c r="D28" s="299"/>
      <c r="E28" s="299"/>
      <c r="F28" s="299"/>
      <c r="G28" s="299"/>
      <c r="H28" s="299"/>
      <c r="I28" s="299"/>
      <c r="J28" s="299"/>
      <c r="K28" s="299"/>
      <c r="L28" s="299"/>
      <c r="M28" s="19">
        <f t="shared" si="6"/>
        <v>0</v>
      </c>
      <c r="N28" s="299"/>
      <c r="O28" s="299" t="s">
        <v>113</v>
      </c>
      <c r="P28" s="223"/>
      <c r="Q28" s="225"/>
      <c r="R28" s="227">
        <f t="shared" si="7"/>
        <v>0</v>
      </c>
      <c r="S28" s="226">
        <f>+IFERROR(IF(S$19=Takstblad!C$3,VLOOKUP('B1'!$A28,takstblad,3,FALSE)*'B1'!C28,"fejl i år"),0)</f>
        <v>0</v>
      </c>
      <c r="T28" s="226">
        <f>+IFERROR(IF(T$19=Takstblad!D$3,VLOOKUP('B1'!$A28,takstblad,4,FALSE)*'B1'!D28,"fejl i år"),0)</f>
        <v>0</v>
      </c>
      <c r="U28" s="226">
        <f>+IFERROR(IF(U$19=Takstblad!E$3,VLOOKUP('B1'!$A28,takstblad,5,FALSE)*'B1'!E28,"fejl i år"),0)</f>
        <v>0</v>
      </c>
      <c r="V28" s="226">
        <f>+IFERROR(IF(V$19=Takstblad!F$3,VLOOKUP('B1'!$A28,takstblad,6,FALSE)*'B1'!F28,"fejl i år"),0)</f>
        <v>0</v>
      </c>
      <c r="W28" s="226">
        <f>+IFERROR(IF(W$19=Takstblad!G$3,VLOOKUP('B1'!$A28,takstblad,7,FALSE)*'B1'!G28,"fejl i år"),0)</f>
        <v>0</v>
      </c>
      <c r="X28" s="226">
        <f>+IFERROR(IF(X$19=Takstblad!H$3,VLOOKUP('B1'!$A28,takstblad,8,FALSE)*'B1'!H28,"fejl i år"),0)</f>
        <v>0</v>
      </c>
      <c r="Y28" s="226">
        <f>+IFERROR(IF(Y$19=Takstblad!I$3,VLOOKUP('B1'!$A28,takstblad,9,FALSE)*'B1'!I28,"fejl i år"),0)</f>
        <v>0</v>
      </c>
      <c r="Z28" s="226">
        <f>+IFERROR(IF(Z$19=Takstblad!J$3,VLOOKUP('B1'!$A28,takstblad,10,FALSE)*'B1'!J28,"fejl i år"),0)</f>
        <v>0</v>
      </c>
      <c r="AA28" s="226">
        <f>+IFERROR(IF(AA$19=Takstblad!K$3,VLOOKUP('B1'!$A28,takstblad,10,FALSE)*'B1'!K28,"fejl i år"),0)</f>
        <v>0</v>
      </c>
      <c r="AB28" s="226">
        <f>+IFERROR(IF(AB$19=Takstblad!L$3,VLOOKUP('B1'!$A28,takstblad,10,FALSE)*'B1'!L28,"fejl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1314</v>
      </c>
      <c r="B29" s="4" t="str">
        <f>+VLOOKUP(A29,Takstblad!$A$5:$B$30,2,FALSE)</f>
        <v/>
      </c>
      <c r="C29" s="299"/>
      <c r="D29" s="299"/>
      <c r="E29" s="299"/>
      <c r="F29" s="299"/>
      <c r="G29" s="299"/>
      <c r="H29" s="299"/>
      <c r="I29" s="299"/>
      <c r="J29" s="299"/>
      <c r="K29" s="300"/>
      <c r="L29" s="300"/>
      <c r="M29" s="47">
        <f t="shared" si="6"/>
        <v>0</v>
      </c>
      <c r="N29" s="299"/>
      <c r="O29" s="299" t="s">
        <v>113</v>
      </c>
      <c r="Q29" s="16"/>
      <c r="R29" s="21">
        <f t="shared" si="7"/>
        <v>0</v>
      </c>
      <c r="S29" s="25">
        <f>+IFERROR(IF(S$19=Takstblad!C$3,VLOOKUP('B1'!$A29,takstblad,3,FALSE)*'B1'!C29,"fejl i år"),0)</f>
        <v>0</v>
      </c>
      <c r="T29" s="25">
        <f>+IFERROR(IF(T$19=Takstblad!D$3,VLOOKUP('B1'!$A29,takstblad,4,FALSE)*'B1'!D29,"fejl i år"),0)</f>
        <v>0</v>
      </c>
      <c r="U29" s="25">
        <f>+IFERROR(IF(U$19=Takstblad!E$3,VLOOKUP('B1'!$A29,takstblad,5,FALSE)*'B1'!E29,"fejl i år"),0)</f>
        <v>0</v>
      </c>
      <c r="V29" s="25">
        <f>+IFERROR(IF(V$19=Takstblad!F$3,VLOOKUP('B1'!$A29,takstblad,6,FALSE)*'B1'!F29,"fejl i år"),0)</f>
        <v>0</v>
      </c>
      <c r="W29" s="25">
        <f>+IFERROR(IF(W$19=Takstblad!G$3,VLOOKUP('B1'!$A29,takstblad,7,FALSE)*'B1'!G29,"fejl i år"),0)</f>
        <v>0</v>
      </c>
      <c r="X29" s="25">
        <f>+IFERROR(IF(X$19=Takstblad!H$3,VLOOKUP('B1'!$A29,takstblad,8,FALSE)*'B1'!H29,"fejl i år"),0)</f>
        <v>0</v>
      </c>
      <c r="Y29" s="25">
        <f>+IFERROR(IF(Y$19=Takstblad!I$3,VLOOKUP('B1'!$A29,takstblad,9,FALSE)*'B1'!I29,"fejl i år"),0)</f>
        <v>0</v>
      </c>
      <c r="Z29" s="25">
        <f>+IFERROR(IF(Z$19=Takstblad!J$3,VLOOKUP('B1'!$A29,takstblad,10,FALSE)*'B1'!J29,"fejl i år"),0)</f>
        <v>0</v>
      </c>
      <c r="AA29" s="25">
        <f>+IFERROR(IF(AA$19=Takstblad!K$3,VLOOKUP('B1'!$A29,takstblad,10,FALSE)*'B1'!K29,"fejl i år"),0)</f>
        <v>0</v>
      </c>
      <c r="AB29" s="25">
        <f>+IFERROR(IF(AB$19=Takstblad!L$3,VLOOKUP('B1'!$A29,takstblad,10,FALSE)*'B1'!L29,"fejl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30" si="29">IFERROR(Z29/BC29,0)</f>
        <v>0</v>
      </c>
      <c r="BE29" s="232"/>
      <c r="BF29" s="25">
        <f t="shared" si="25"/>
        <v>0</v>
      </c>
      <c r="BG29" s="25">
        <f t="shared" si="26"/>
        <v>0</v>
      </c>
      <c r="BH29" s="232"/>
      <c r="BI29" s="25">
        <f t="shared" si="27"/>
        <v>0</v>
      </c>
      <c r="BJ29" s="25">
        <f t="shared" si="28"/>
        <v>0</v>
      </c>
    </row>
    <row r="30" spans="1:62" ht="15.6" customHeight="1" thickBot="1" x14ac:dyDescent="0.25">
      <c r="A30" s="4" t="s">
        <v>81</v>
      </c>
      <c r="B30" s="4"/>
      <c r="C30" s="49">
        <f>SUM(C20:C29)</f>
        <v>0</v>
      </c>
      <c r="D30" s="49">
        <f>SUM(D20:D29)</f>
        <v>18</v>
      </c>
      <c r="E30" s="49">
        <f t="shared" ref="E30:I30" si="30">SUM(E20:E29)</f>
        <v>18</v>
      </c>
      <c r="F30" s="49">
        <f t="shared" si="30"/>
        <v>18</v>
      </c>
      <c r="G30" s="49">
        <f t="shared" si="30"/>
        <v>6</v>
      </c>
      <c r="H30" s="49">
        <f t="shared" si="30"/>
        <v>0</v>
      </c>
      <c r="I30" s="64">
        <f t="shared" si="30"/>
        <v>0</v>
      </c>
      <c r="J30" s="64">
        <f>SUM(J20:J29)</f>
        <v>0</v>
      </c>
      <c r="K30" s="64">
        <f t="shared" ref="K30:L30" si="31">SUM(K20:K29)</f>
        <v>0</v>
      </c>
      <c r="L30" s="64">
        <f t="shared" si="31"/>
        <v>0</v>
      </c>
      <c r="M30" s="50">
        <f>SUM(M20:M29)</f>
        <v>60</v>
      </c>
      <c r="N30" s="50"/>
      <c r="O30" s="4"/>
      <c r="P30" s="4"/>
      <c r="Q30" s="23" t="s">
        <v>74</v>
      </c>
      <c r="R30" s="53">
        <f t="shared" si="7"/>
        <v>3303900</v>
      </c>
      <c r="S30" s="51">
        <f>SUM(S20:S29)</f>
        <v>0</v>
      </c>
      <c r="T30" s="13">
        <f t="shared" ref="T30:Z30" si="32">SUM(T20:T29)</f>
        <v>931200</v>
      </c>
      <c r="U30" s="52">
        <f t="shared" si="32"/>
        <v>959700</v>
      </c>
      <c r="V30" s="13">
        <f t="shared" si="32"/>
        <v>990000</v>
      </c>
      <c r="W30" s="52">
        <f t="shared" si="32"/>
        <v>423000</v>
      </c>
      <c r="X30" s="13">
        <f t="shared" si="32"/>
        <v>0</v>
      </c>
      <c r="Y30" s="66">
        <f t="shared" si="32"/>
        <v>0</v>
      </c>
      <c r="Z30" s="66">
        <f t="shared" si="32"/>
        <v>0</v>
      </c>
      <c r="AA30" s="66">
        <f t="shared" ref="AA30:AB30" si="33">SUM(AA20:AA29)</f>
        <v>0</v>
      </c>
      <c r="AB30" s="66">
        <f t="shared" si="33"/>
        <v>0</v>
      </c>
      <c r="AC30" s="53">
        <f t="shared" si="8"/>
        <v>3303900</v>
      </c>
      <c r="AD30" s="232"/>
      <c r="AE30" s="13">
        <f>SUM(AE20:AE29)</f>
        <v>7425</v>
      </c>
      <c r="AF30" s="10">
        <f t="shared" si="10"/>
        <v>444.969696969697</v>
      </c>
      <c r="AG30" s="232"/>
      <c r="AH30" s="13">
        <f>SUM(AH20:AH29)</f>
        <v>0</v>
      </c>
      <c r="AI30" s="10">
        <f t="shared" si="12"/>
        <v>0</v>
      </c>
      <c r="AJ30" s="233"/>
      <c r="AK30" s="13">
        <f>SUM(AK20:AK29)</f>
        <v>2227.5</v>
      </c>
      <c r="AL30" s="10">
        <f t="shared" si="14"/>
        <v>418.04713804713805</v>
      </c>
      <c r="AM30" s="233"/>
      <c r="AN30" s="13">
        <f>SUM(AN20:AN29)</f>
        <v>2227.5</v>
      </c>
      <c r="AO30" s="10">
        <f t="shared" si="16"/>
        <v>430.84175084175087</v>
      </c>
      <c r="AP30" s="232"/>
      <c r="AQ30" s="13">
        <f>SUM(AQ20:AQ29)</f>
        <v>2227.5</v>
      </c>
      <c r="AR30" s="10">
        <f t="shared" si="18"/>
        <v>444.44444444444446</v>
      </c>
      <c r="AS30" s="232"/>
      <c r="AT30" s="13">
        <f>SUM(AT20:AT29)</f>
        <v>742.5</v>
      </c>
      <c r="AU30" s="10">
        <f t="shared" si="20"/>
        <v>569.69696969696975</v>
      </c>
      <c r="AV30" s="232"/>
      <c r="AW30" s="13">
        <f>SUM(AW20:AW29)</f>
        <v>0</v>
      </c>
      <c r="AX30" s="10">
        <f t="shared" si="22"/>
        <v>0</v>
      </c>
      <c r="AY30" s="232"/>
      <c r="AZ30" s="13">
        <f>SUM(AZ20:AZ29)</f>
        <v>0</v>
      </c>
      <c r="BA30" s="10">
        <f t="shared" ref="BA30" si="34">IFERROR(Z30/AZ30,0)</f>
        <v>0</v>
      </c>
      <c r="BB30" s="232"/>
      <c r="BC30" s="13">
        <f>SUM(BC20:BC29)</f>
        <v>0</v>
      </c>
      <c r="BD30" s="10">
        <f t="shared" si="29"/>
        <v>0</v>
      </c>
      <c r="BE30" s="232"/>
      <c r="BF30" s="13">
        <f>SUM(BF20:BF29)</f>
        <v>0</v>
      </c>
      <c r="BG30" s="10">
        <f t="shared" ref="BG30" si="35">IFERROR(AC30/BF30,0)</f>
        <v>0</v>
      </c>
      <c r="BH30" s="232"/>
      <c r="BI30" s="13">
        <f>SUM(BI20:BI29)</f>
        <v>0</v>
      </c>
      <c r="BJ30" s="10">
        <f t="shared" ref="BJ30" si="36">IFERROR(AF30/BI30,0)</f>
        <v>0</v>
      </c>
    </row>
    <row r="31" spans="1:62" ht="15.6" customHeight="1" x14ac:dyDescent="0.2">
      <c r="A31" s="4"/>
      <c r="B31" s="5"/>
      <c r="C31" s="5"/>
      <c r="D31" s="5"/>
      <c r="E31" s="5"/>
      <c r="F31" s="5"/>
      <c r="G31" s="5"/>
      <c r="H31" s="5"/>
      <c r="I31" s="5"/>
      <c r="J31" s="5"/>
      <c r="K31" s="5"/>
      <c r="L31" s="5"/>
      <c r="M31" s="5"/>
      <c r="N31" s="5"/>
      <c r="O31" s="5"/>
      <c r="P31" s="5"/>
      <c r="Q31" s="23"/>
      <c r="R31" s="5"/>
      <c r="S31" s="5"/>
      <c r="T31" s="5"/>
      <c r="U31" s="5"/>
      <c r="V31" s="5"/>
      <c r="W31" s="5"/>
      <c r="X31" s="5"/>
      <c r="Y31" s="5"/>
      <c r="Z31" s="5"/>
      <c r="AA31" s="5"/>
      <c r="AB31" s="5"/>
      <c r="AC31" s="5"/>
      <c r="AD31" s="232"/>
      <c r="AE31" s="5"/>
      <c r="AF31" s="5"/>
      <c r="AG31" s="232"/>
      <c r="AH31" s="5"/>
      <c r="AI31" s="5"/>
      <c r="AJ31" s="232"/>
      <c r="AK31" s="5"/>
      <c r="AL31" s="5"/>
      <c r="AM31" s="232"/>
      <c r="AN31" s="5"/>
      <c r="AO31" s="5"/>
      <c r="AP31" s="232"/>
      <c r="AQ31" s="5"/>
      <c r="AR31" s="5"/>
      <c r="AS31" s="232"/>
      <c r="AT31" s="5"/>
      <c r="AU31" s="5"/>
      <c r="AV31" s="232"/>
      <c r="AW31" s="5"/>
      <c r="AX31" s="5"/>
      <c r="AY31" s="232"/>
      <c r="AZ31" s="5"/>
      <c r="BA31" s="5"/>
      <c r="BB31" s="232"/>
      <c r="BC31" s="5"/>
      <c r="BD31" s="5"/>
      <c r="BE31" s="232"/>
      <c r="BF31" s="5"/>
      <c r="BG31" s="5"/>
      <c r="BH31" s="232"/>
      <c r="BI31" s="5"/>
      <c r="BJ31" s="5"/>
    </row>
    <row r="32" spans="1:62" s="9" customFormat="1" ht="15.6" customHeight="1" x14ac:dyDescent="0.2">
      <c r="A32" s="4" t="s">
        <v>80</v>
      </c>
      <c r="B32" s="8"/>
      <c r="C32" s="8">
        <f t="shared" ref="C32:L32" si="37">+C19</f>
        <v>2025</v>
      </c>
      <c r="D32" s="8">
        <f t="shared" si="37"/>
        <v>2026</v>
      </c>
      <c r="E32" s="8">
        <f t="shared" si="37"/>
        <v>2027</v>
      </c>
      <c r="F32" s="8">
        <f t="shared" si="37"/>
        <v>2028</v>
      </c>
      <c r="G32" s="8">
        <f t="shared" si="37"/>
        <v>2029</v>
      </c>
      <c r="H32" s="8">
        <f t="shared" si="37"/>
        <v>2030</v>
      </c>
      <c r="I32" s="8">
        <f t="shared" si="37"/>
        <v>2031</v>
      </c>
      <c r="J32" s="8">
        <f t="shared" si="37"/>
        <v>2032</v>
      </c>
      <c r="K32" s="8">
        <f t="shared" si="37"/>
        <v>2033</v>
      </c>
      <c r="L32" s="8">
        <f t="shared" si="37"/>
        <v>2034</v>
      </c>
      <c r="M32" s="8" t="s">
        <v>34</v>
      </c>
      <c r="N32" s="8"/>
      <c r="O32" s="8"/>
      <c r="P32" s="8"/>
      <c r="Q32" s="23" t="s">
        <v>82</v>
      </c>
      <c r="R32" s="4" t="s">
        <v>34</v>
      </c>
      <c r="S32" s="8">
        <f t="shared" ref="S32:AB32" si="38">+C19</f>
        <v>2025</v>
      </c>
      <c r="T32" s="8">
        <f t="shared" si="38"/>
        <v>2026</v>
      </c>
      <c r="U32" s="8">
        <f t="shared" si="38"/>
        <v>2027</v>
      </c>
      <c r="V32" s="8">
        <f t="shared" si="38"/>
        <v>2028</v>
      </c>
      <c r="W32" s="8">
        <f t="shared" si="38"/>
        <v>2029</v>
      </c>
      <c r="X32" s="8">
        <f t="shared" si="38"/>
        <v>2030</v>
      </c>
      <c r="Y32" s="8">
        <f t="shared" si="38"/>
        <v>2031</v>
      </c>
      <c r="Z32" s="8">
        <f t="shared" si="38"/>
        <v>2032</v>
      </c>
      <c r="AA32" s="8">
        <f t="shared" si="38"/>
        <v>2033</v>
      </c>
      <c r="AB32" s="8">
        <f t="shared" si="38"/>
        <v>2034</v>
      </c>
      <c r="AC32" s="4" t="s">
        <v>34</v>
      </c>
      <c r="AD32" s="233"/>
      <c r="AE32" s="503" t="s">
        <v>34</v>
      </c>
      <c r="AF32" s="502"/>
      <c r="AG32" s="232"/>
      <c r="AH32" s="501">
        <f>+AH19</f>
        <v>2025</v>
      </c>
      <c r="AI32" s="502"/>
      <c r="AJ32" s="232"/>
      <c r="AK32" s="501">
        <f>+AK19</f>
        <v>2026</v>
      </c>
      <c r="AL32" s="502"/>
      <c r="AM32" s="232"/>
      <c r="AN32" s="501">
        <f>+AN19</f>
        <v>2027</v>
      </c>
      <c r="AO32" s="502"/>
      <c r="AP32" s="232"/>
      <c r="AQ32" s="501">
        <f>+AQ19</f>
        <v>2028</v>
      </c>
      <c r="AR32" s="502"/>
      <c r="AS32" s="232"/>
      <c r="AT32" s="501">
        <f>+AT19</f>
        <v>2029</v>
      </c>
      <c r="AU32" s="502"/>
      <c r="AV32" s="232"/>
      <c r="AW32" s="501">
        <f>+AW19</f>
        <v>2030</v>
      </c>
      <c r="AX32" s="502"/>
      <c r="AY32" s="232"/>
      <c r="AZ32" s="501">
        <f>+AZ19</f>
        <v>2031</v>
      </c>
      <c r="BA32" s="502"/>
      <c r="BB32" s="232"/>
      <c r="BC32" s="501">
        <f>+BC19</f>
        <v>2032</v>
      </c>
      <c r="BD32" s="502"/>
      <c r="BE32" s="232"/>
      <c r="BF32" s="501">
        <f>+BF19</f>
        <v>2033</v>
      </c>
      <c r="BG32" s="502"/>
      <c r="BH32" s="232"/>
      <c r="BI32" s="501">
        <f>+BI19</f>
        <v>2034</v>
      </c>
      <c r="BJ32" s="502"/>
    </row>
    <row r="33" spans="1:66" ht="15.6" customHeight="1" x14ac:dyDescent="0.2">
      <c r="A33" s="223" t="s">
        <v>1314</v>
      </c>
      <c r="B33" s="224">
        <f>+VLOOKUP(A33,Takstblad!$A$33:$B$51,2,FALSE)</f>
        <v>0</v>
      </c>
      <c r="C33" s="299"/>
      <c r="D33" s="299"/>
      <c r="E33" s="299"/>
      <c r="F33" s="299"/>
      <c r="G33" s="299"/>
      <c r="H33" s="299"/>
      <c r="I33" s="299"/>
      <c r="J33" s="299"/>
      <c r="K33" s="299"/>
      <c r="L33" s="299"/>
      <c r="M33" s="19">
        <f>SUM(C33:L33)</f>
        <v>0</v>
      </c>
      <c r="N33" s="299"/>
      <c r="O33" s="299" t="s">
        <v>113</v>
      </c>
      <c r="P33" s="223"/>
      <c r="Q33" s="229"/>
      <c r="R33" s="227">
        <f t="shared" ref="R33:R46" si="39">+AC33</f>
        <v>0</v>
      </c>
      <c r="S33" s="226">
        <f>+IFERROR(IF(S$19=Takstblad!C$3,VLOOKUP('B1'!$A33,takstblad,3,FALSE)*'B1'!C33,"fejl i år"),0)</f>
        <v>0</v>
      </c>
      <c r="T33" s="226">
        <f>+IFERROR(IF(T$19=Takstblad!D$3,VLOOKUP('B1'!$A33,takstblad,4,FALSE)*'B1'!D33,"fejl i år"),0)</f>
        <v>0</v>
      </c>
      <c r="U33" s="226">
        <f>+IFERROR(IF(U$19=Takstblad!E$3,VLOOKUP('B1'!$A33,takstblad,5,FALSE)*'B1'!E33,"fejl i år"),0)</f>
        <v>0</v>
      </c>
      <c r="V33" s="226">
        <f>+IFERROR(IF(V$19=Takstblad!F$3,VLOOKUP('B1'!$A33,takstblad,6,FALSE)*'B1'!F33,"fejl i år"),0)</f>
        <v>0</v>
      </c>
      <c r="W33" s="226">
        <f>+IFERROR(IF(W$19=Takstblad!G$3,VLOOKUP('B1'!$A33,takstblad,7,FALSE)*'B1'!G33,"fejl i år"),0)</f>
        <v>0</v>
      </c>
      <c r="X33" s="226">
        <f>+IFERROR(IF(X$19=Takstblad!H$3,VLOOKUP('B1'!$A33,takstblad,8,FALSE)*'B1'!H33,"fejl i år"),0)</f>
        <v>0</v>
      </c>
      <c r="Y33" s="226">
        <f>+IFERROR(IF(Y$19=Takstblad!I$3,VLOOKUP('B1'!$A33,takstblad,9,FALSE)*'B1'!I33,"fejl i år"),0)</f>
        <v>0</v>
      </c>
      <c r="Z33" s="226">
        <f>+IFERROR(IF(Z$19=Takstblad!J$3,VLOOKUP('B1'!$A33,takstblad,10,FALSE)*'B1'!J33,"fejl i år"),0)</f>
        <v>0</v>
      </c>
      <c r="AA33" s="226">
        <f>+IFERROR(IF(AA$19=Takstblad!K$3,VLOOKUP('B1'!$A33,takstblad,10,FALSE)*'B1'!K33,"fejl i år"),0)</f>
        <v>0</v>
      </c>
      <c r="AB33" s="226">
        <f>+IFERROR(IF(AB$19=Takstblad!L$3,VLOOKUP('B1'!$A33,takstblad,10,FALSE)*'B1'!L33,"fejl i år"),0)</f>
        <v>0</v>
      </c>
      <c r="AC33" s="227">
        <f>SUM(S33:AB33)</f>
        <v>0</v>
      </c>
      <c r="AD33" s="232"/>
      <c r="AE33" s="228">
        <f t="shared" ref="AE33:AE42" si="40">+M33*($C$7/12)</f>
        <v>0</v>
      </c>
      <c r="AF33" s="228">
        <f t="shared" ref="AF33:AF43" si="41">IFERROR(AC33/AE33,0)</f>
        <v>0</v>
      </c>
      <c r="AG33" s="232"/>
      <c r="AH33" s="228">
        <f t="shared" ref="AH33:AH43" si="42">+C33*($C$7/12)</f>
        <v>0</v>
      </c>
      <c r="AI33" s="228">
        <f t="shared" ref="AI33:AI46" si="43">IFERROR(S33/AH33,0)</f>
        <v>0</v>
      </c>
      <c r="AJ33" s="232"/>
      <c r="AK33" s="226">
        <f t="shared" ref="AK33:AK43" si="44">+D33*($C$7/12)</f>
        <v>0</v>
      </c>
      <c r="AL33" s="226">
        <f t="shared" ref="AL33:AL46" si="45">IFERROR(T33/AK33,0)</f>
        <v>0</v>
      </c>
      <c r="AM33" s="232"/>
      <c r="AN33" s="226">
        <f t="shared" ref="AN33:AN43" si="46">+E33*($C$7/12)</f>
        <v>0</v>
      </c>
      <c r="AO33" s="226">
        <f t="shared" ref="AO33:AO46" si="47">IFERROR(U33/AN33,0)</f>
        <v>0</v>
      </c>
      <c r="AP33" s="232"/>
      <c r="AQ33" s="226">
        <f t="shared" ref="AQ33:AQ43" si="48">+F33*($C$7/12)</f>
        <v>0</v>
      </c>
      <c r="AR33" s="226">
        <f t="shared" ref="AR33:AR46" si="49">IFERROR(V33/AQ33,0)</f>
        <v>0</v>
      </c>
      <c r="AS33" s="232"/>
      <c r="AT33" s="226">
        <f t="shared" ref="AT33:AT43" si="50">+G33*($C$7/12)</f>
        <v>0</v>
      </c>
      <c r="AU33" s="226">
        <f t="shared" ref="AU33:AU46" si="51">IFERROR(W33/AT33,0)</f>
        <v>0</v>
      </c>
      <c r="AV33" s="232"/>
      <c r="AW33" s="226">
        <f t="shared" ref="AW33:AW43" si="52">+H33*($C$7/12)</f>
        <v>0</v>
      </c>
      <c r="AX33" s="226">
        <f t="shared" ref="AX33:AX46" si="53">IFERROR(X33/AW33,0)</f>
        <v>0</v>
      </c>
      <c r="AY33" s="232"/>
      <c r="AZ33" s="226">
        <f>+I33*($C$7/12)</f>
        <v>0</v>
      </c>
      <c r="BA33" s="226">
        <f>IFERROR(Y33/AZ33,0)</f>
        <v>0</v>
      </c>
      <c r="BB33" s="232"/>
      <c r="BC33" s="226">
        <f>+J33*($C$7/12)</f>
        <v>0</v>
      </c>
      <c r="BD33" s="226">
        <f>IFERROR(Z33/BC33,0)</f>
        <v>0</v>
      </c>
      <c r="BE33" s="232"/>
      <c r="BF33" s="226">
        <f>+K33*($C$7/12)</f>
        <v>0</v>
      </c>
      <c r="BG33" s="226">
        <f>IFERROR(AB33/BF33,0)</f>
        <v>0</v>
      </c>
      <c r="BH33" s="232"/>
      <c r="BI33" s="226">
        <f>+L33*($C$7/12)</f>
        <v>0</v>
      </c>
      <c r="BJ33" s="226">
        <f>IFERROR(AB33/BI33,0)</f>
        <v>0</v>
      </c>
    </row>
    <row r="34" spans="1:66" ht="15.6" customHeight="1" x14ac:dyDescent="0.2">
      <c r="A34" s="7" t="s">
        <v>1314</v>
      </c>
      <c r="B34" s="4">
        <f>+VLOOKUP(A34,Takstblad!$A$33:$B$51,2,FALSE)</f>
        <v>0</v>
      </c>
      <c r="C34" s="301"/>
      <c r="D34" s="299"/>
      <c r="E34" s="299"/>
      <c r="F34" s="299"/>
      <c r="G34" s="299"/>
      <c r="H34" s="299"/>
      <c r="I34" s="299"/>
      <c r="J34" s="299"/>
      <c r="K34" s="299"/>
      <c r="L34" s="299"/>
      <c r="M34" s="19">
        <f t="shared" ref="M34:M46" si="54">SUM(C34:L34)</f>
        <v>0</v>
      </c>
      <c r="N34" s="299"/>
      <c r="O34" s="299" t="s">
        <v>113</v>
      </c>
      <c r="Q34" s="26"/>
      <c r="R34" s="21">
        <f>+AC34</f>
        <v>0</v>
      </c>
      <c r="S34" s="25">
        <f>+IFERROR(IF(S$19=Takstblad!C$3,VLOOKUP('B1'!$A34,takstblad,3,FALSE)*'B1'!C34,"fejl i år"),0)</f>
        <v>0</v>
      </c>
      <c r="T34" s="25">
        <f>+IFERROR(IF(T$19=Takstblad!D$3,VLOOKUP('B1'!$A34,takstblad,4,FALSE)*'B1'!D34,"fejl i år"),0)</f>
        <v>0</v>
      </c>
      <c r="U34" s="25">
        <f>+IFERROR(IF(U$19=Takstblad!E$3,VLOOKUP('B1'!$A34,takstblad,5,FALSE)*'B1'!E34,"fejl i år"),0)</f>
        <v>0</v>
      </c>
      <c r="V34" s="25">
        <f>+IFERROR(IF(V$19=Takstblad!F$3,VLOOKUP('B1'!$A34,takstblad,6,FALSE)*'B1'!F34,"fejl i år"),0)</f>
        <v>0</v>
      </c>
      <c r="W34" s="25">
        <f>+IFERROR(IF(W$19=Takstblad!G$3,VLOOKUP('B1'!$A34,takstblad,7,FALSE)*'B1'!G34,"fejl i år"),0)</f>
        <v>0</v>
      </c>
      <c r="X34" s="25">
        <f>+IFERROR(IF(X$19=Takstblad!H$3,VLOOKUP('B1'!$A34,takstblad,8,FALSE)*'B1'!H34,"fejl i år"),0)</f>
        <v>0</v>
      </c>
      <c r="Y34" s="25">
        <f>+IFERROR(IF(Y$19=Takstblad!I$3,VLOOKUP('B1'!$A34,takstblad,9,FALSE)*'B1'!I34,"fejl i år"),0)</f>
        <v>0</v>
      </c>
      <c r="Z34" s="25">
        <f>+IFERROR(IF(Z$19=Takstblad!J$3,VLOOKUP('B1'!$A34,takstblad,10,FALSE)*'B1'!J34,"fejl i år"),0)</f>
        <v>0</v>
      </c>
      <c r="AA34" s="25">
        <f>+IFERROR(IF(AA$19=Takstblad!K$3,VLOOKUP('B1'!$A34,takstblad,10,FALSE)*'B1'!K34,"fejl i år"),0)</f>
        <v>0</v>
      </c>
      <c r="AB34" s="25">
        <f>+IFERROR(IF(AB$19=Takstblad!L$3,VLOOKUP('B1'!$A34,takstblad,10,FALSE)*'B1'!L34,"fejl i år"),0)</f>
        <v>0</v>
      </c>
      <c r="AC34" s="21">
        <f t="shared" ref="AC34:AC46" si="55">SUM(S34:AB34)</f>
        <v>0</v>
      </c>
      <c r="AD34" s="232"/>
      <c r="AE34" s="25">
        <f t="shared" si="40"/>
        <v>0</v>
      </c>
      <c r="AF34" s="25">
        <f t="shared" si="41"/>
        <v>0</v>
      </c>
      <c r="AG34" s="232"/>
      <c r="AH34" s="25">
        <f t="shared" si="42"/>
        <v>0</v>
      </c>
      <c r="AI34" s="25">
        <f t="shared" si="43"/>
        <v>0</v>
      </c>
      <c r="AJ34" s="232"/>
      <c r="AK34" s="25">
        <f t="shared" si="44"/>
        <v>0</v>
      </c>
      <c r="AL34" s="25">
        <f t="shared" si="45"/>
        <v>0</v>
      </c>
      <c r="AM34" s="232"/>
      <c r="AN34" s="25">
        <f t="shared" si="46"/>
        <v>0</v>
      </c>
      <c r="AO34" s="25">
        <f t="shared" si="47"/>
        <v>0</v>
      </c>
      <c r="AP34" s="232"/>
      <c r="AQ34" s="25">
        <f t="shared" si="48"/>
        <v>0</v>
      </c>
      <c r="AR34" s="25">
        <f t="shared" si="49"/>
        <v>0</v>
      </c>
      <c r="AS34" s="232"/>
      <c r="AT34" s="25">
        <f>+G34*($C$7/12)</f>
        <v>0</v>
      </c>
      <c r="AU34" s="25">
        <f>IFERROR(W34/AT34,0)</f>
        <v>0</v>
      </c>
      <c r="AV34" s="232"/>
      <c r="AW34" s="25">
        <f t="shared" si="52"/>
        <v>0</v>
      </c>
      <c r="AX34" s="25">
        <f t="shared" si="53"/>
        <v>0</v>
      </c>
      <c r="AY34" s="232"/>
      <c r="AZ34" s="25">
        <f t="shared" ref="AZ34:AZ43" si="56">+I34*($C$7/12)</f>
        <v>0</v>
      </c>
      <c r="BA34" s="25">
        <f t="shared" ref="BA34:BA46" si="57">IFERROR(Y34/AZ34,0)</f>
        <v>0</v>
      </c>
      <c r="BB34" s="232"/>
      <c r="BC34" s="25">
        <f t="shared" ref="BC34:BC43" si="58">+J34*($C$7/12)</f>
        <v>0</v>
      </c>
      <c r="BD34" s="25">
        <f t="shared" ref="BD34:BD46" si="59">IFERROR(Z34/BC34,0)</f>
        <v>0</v>
      </c>
      <c r="BE34" s="232"/>
      <c r="BF34" s="25">
        <f t="shared" ref="BF34:BF45" si="60">+K34*($C$7/12)</f>
        <v>0</v>
      </c>
      <c r="BG34" s="25">
        <f t="shared" ref="BG34:BG45" si="61">IFERROR(AB34/BF34,0)</f>
        <v>0</v>
      </c>
      <c r="BH34" s="232"/>
      <c r="BI34" s="25">
        <f t="shared" ref="BI34:BI45" si="62">+L34*($C$7/12)</f>
        <v>0</v>
      </c>
      <c r="BJ34" s="25">
        <f t="shared" ref="BJ34:BJ45" si="63">IFERROR(AB34/BI34,0)</f>
        <v>0</v>
      </c>
    </row>
    <row r="35" spans="1:66" ht="15.6" customHeight="1" x14ac:dyDescent="0.2">
      <c r="A35" s="223" t="s">
        <v>1314</v>
      </c>
      <c r="B35" s="224">
        <f>+VLOOKUP(A35,Takstblad!$A$33:$B$51,2,FALSE)</f>
        <v>0</v>
      </c>
      <c r="C35" s="299"/>
      <c r="D35" s="299"/>
      <c r="E35" s="299"/>
      <c r="F35" s="299"/>
      <c r="G35" s="299"/>
      <c r="H35" s="299"/>
      <c r="I35" s="299"/>
      <c r="J35" s="299"/>
      <c r="K35" s="299"/>
      <c r="L35" s="299"/>
      <c r="M35" s="19">
        <f t="shared" si="54"/>
        <v>0</v>
      </c>
      <c r="N35" s="299"/>
      <c r="O35" s="299" t="s">
        <v>113</v>
      </c>
      <c r="P35" s="223"/>
      <c r="Q35" s="229"/>
      <c r="R35" s="227">
        <f>+AC35</f>
        <v>0</v>
      </c>
      <c r="S35" s="226">
        <f>+IFERROR(IF(S$19=Takstblad!C$3,VLOOKUP('B1'!$A35,takstblad,3,FALSE)*'B1'!C35,"fejl i år"),0)</f>
        <v>0</v>
      </c>
      <c r="T35" s="226">
        <f>+IFERROR(IF(T$19=Takstblad!D$3,VLOOKUP('B1'!$A35,takstblad,4,FALSE)*'B1'!D35,"fejl i år"),0)</f>
        <v>0</v>
      </c>
      <c r="U35" s="226">
        <f>+IFERROR(IF(U$19=Takstblad!E$3,VLOOKUP('B1'!$A35,takstblad,5,FALSE)*'B1'!E35,"fejl i år"),0)</f>
        <v>0</v>
      </c>
      <c r="V35" s="226">
        <f>+IFERROR(IF(V$19=Takstblad!F$3,VLOOKUP('B1'!$A35,takstblad,6,FALSE)*'B1'!F35,"fejl i år"),0)</f>
        <v>0</v>
      </c>
      <c r="W35" s="226">
        <f>+IFERROR(IF(W$19=Takstblad!G$3,VLOOKUP('B1'!$A35,takstblad,7,FALSE)*'B1'!G35,"fejl i år"),0)</f>
        <v>0</v>
      </c>
      <c r="X35" s="226">
        <f>+IFERROR(IF(X$19=Takstblad!H$3,VLOOKUP('B1'!$A35,takstblad,8,FALSE)*'B1'!H35,"fejl i år"),0)</f>
        <v>0</v>
      </c>
      <c r="Y35" s="226">
        <f>+IFERROR(IF(Y$19=Takstblad!I$3,VLOOKUP('B1'!$A35,takstblad,9,FALSE)*'B1'!I35,"fejl i år"),0)</f>
        <v>0</v>
      </c>
      <c r="Z35" s="226">
        <f>+IFERROR(IF(Z$19=Takstblad!J$3,VLOOKUP('B1'!$A35,takstblad,10,FALSE)*'B1'!J35,"fejl i år"),0)</f>
        <v>0</v>
      </c>
      <c r="AA35" s="226">
        <f>+IFERROR(IF(AA$19=Takstblad!K$3,VLOOKUP('B1'!$A35,takstblad,10,FALSE)*'B1'!K35,"fejl i år"),0)</f>
        <v>0</v>
      </c>
      <c r="AB35" s="226">
        <f>+IFERROR(IF(AB$19=Takstblad!L$3,VLOOKUP('B1'!$A35,takstblad,10,FALSE)*'B1'!L35,"fejl i år"),0)</f>
        <v>0</v>
      </c>
      <c r="AC35" s="227">
        <f t="shared" si="55"/>
        <v>0</v>
      </c>
      <c r="AD35" s="232"/>
      <c r="AE35" s="228">
        <f t="shared" si="40"/>
        <v>0</v>
      </c>
      <c r="AF35" s="228">
        <f t="shared" si="41"/>
        <v>0</v>
      </c>
      <c r="AG35" s="232"/>
      <c r="AH35" s="228">
        <f t="shared" si="42"/>
        <v>0</v>
      </c>
      <c r="AI35" s="228">
        <f t="shared" si="43"/>
        <v>0</v>
      </c>
      <c r="AJ35" s="232"/>
      <c r="AK35" s="226">
        <f t="shared" si="44"/>
        <v>0</v>
      </c>
      <c r="AL35" s="226">
        <f t="shared" si="45"/>
        <v>0</v>
      </c>
      <c r="AM35" s="232"/>
      <c r="AN35" s="226">
        <f t="shared" si="46"/>
        <v>0</v>
      </c>
      <c r="AO35" s="226">
        <f t="shared" si="47"/>
        <v>0</v>
      </c>
      <c r="AP35" s="232"/>
      <c r="AQ35" s="226">
        <f t="shared" si="48"/>
        <v>0</v>
      </c>
      <c r="AR35" s="226">
        <f t="shared" si="49"/>
        <v>0</v>
      </c>
      <c r="AS35" s="232"/>
      <c r="AT35" s="226">
        <f t="shared" si="50"/>
        <v>0</v>
      </c>
      <c r="AU35" s="226">
        <f t="shared" si="51"/>
        <v>0</v>
      </c>
      <c r="AV35" s="232"/>
      <c r="AW35" s="226">
        <f t="shared" si="52"/>
        <v>0</v>
      </c>
      <c r="AX35" s="226">
        <f t="shared" si="53"/>
        <v>0</v>
      </c>
      <c r="AY35" s="232"/>
      <c r="AZ35" s="226">
        <f t="shared" si="56"/>
        <v>0</v>
      </c>
      <c r="BA35" s="226">
        <f t="shared" si="57"/>
        <v>0</v>
      </c>
      <c r="BB35" s="232"/>
      <c r="BC35" s="226">
        <f t="shared" si="58"/>
        <v>0</v>
      </c>
      <c r="BD35" s="226">
        <f t="shared" si="59"/>
        <v>0</v>
      </c>
      <c r="BE35" s="232"/>
      <c r="BF35" s="226">
        <f t="shared" si="60"/>
        <v>0</v>
      </c>
      <c r="BG35" s="226">
        <f t="shared" si="61"/>
        <v>0</v>
      </c>
      <c r="BH35" s="232"/>
      <c r="BI35" s="226">
        <f t="shared" si="62"/>
        <v>0</v>
      </c>
      <c r="BJ35" s="226">
        <f t="shared" si="63"/>
        <v>0</v>
      </c>
    </row>
    <row r="36" spans="1:66" ht="15.6" customHeight="1" x14ac:dyDescent="0.2">
      <c r="A36" s="7" t="s">
        <v>1314</v>
      </c>
      <c r="B36" s="4">
        <f>+VLOOKUP(A36,Takstblad!$A$33:$B$51,2,FALSE)</f>
        <v>0</v>
      </c>
      <c r="C36" s="299"/>
      <c r="D36" s="299"/>
      <c r="E36" s="299"/>
      <c r="F36" s="299"/>
      <c r="G36" s="299"/>
      <c r="H36" s="299"/>
      <c r="I36" s="299"/>
      <c r="J36" s="299"/>
      <c r="K36" s="299"/>
      <c r="L36" s="299"/>
      <c r="M36" s="19">
        <f t="shared" si="54"/>
        <v>0</v>
      </c>
      <c r="N36" s="299"/>
      <c r="O36" s="299" t="s">
        <v>113</v>
      </c>
      <c r="Q36" s="26"/>
      <c r="R36" s="21">
        <f t="shared" si="39"/>
        <v>0</v>
      </c>
      <c r="S36" s="25">
        <f>+IFERROR(IF(S$19=Takstblad!C$3,VLOOKUP('B1'!$A36,takstblad,3,FALSE)*'B1'!C36,"fejl i år"),0)</f>
        <v>0</v>
      </c>
      <c r="T36" s="25">
        <f>+IFERROR(IF(T$19=Takstblad!D$3,VLOOKUP('B1'!$A36,takstblad,4,FALSE)*'B1'!D36,"fejl i år"),0)</f>
        <v>0</v>
      </c>
      <c r="U36" s="25">
        <f>+IFERROR(IF(U$19=Takstblad!E$3,VLOOKUP('B1'!$A36,takstblad,5,FALSE)*'B1'!E36,"fejl i år"),0)</f>
        <v>0</v>
      </c>
      <c r="V36" s="25">
        <f>+IFERROR(IF(V$19=Takstblad!F$3,VLOOKUP('B1'!$A36,takstblad,6,FALSE)*'B1'!F36,"fejl i år"),0)</f>
        <v>0</v>
      </c>
      <c r="W36" s="25">
        <f>+IFERROR(IF(W$19=Takstblad!G$3,VLOOKUP('B1'!$A36,takstblad,7,FALSE)*'B1'!G36,"fejl i år"),0)</f>
        <v>0</v>
      </c>
      <c r="X36" s="25">
        <f>+IFERROR(IF(X$19=Takstblad!H$3,VLOOKUP('B1'!$A36,takstblad,8,FALSE)*'B1'!H36,"fejl i år"),0)</f>
        <v>0</v>
      </c>
      <c r="Y36" s="25">
        <f>+IFERROR(IF(Y$19=Takstblad!I$3,VLOOKUP('B1'!$A36,takstblad,9,FALSE)*'B1'!I36,"fejl i år"),0)</f>
        <v>0</v>
      </c>
      <c r="Z36" s="25">
        <f>+IFERROR(IF(Z$19=Takstblad!J$3,VLOOKUP('B1'!$A36,takstblad,10,FALSE)*'B1'!J36,"fejl i år"),0)</f>
        <v>0</v>
      </c>
      <c r="AA36" s="25">
        <f>+IFERROR(IF(AA$19=Takstblad!K$3,VLOOKUP('B1'!$A36,takstblad,10,FALSE)*'B1'!K36,"fejl i år"),0)</f>
        <v>0</v>
      </c>
      <c r="AB36" s="25">
        <f>+IFERROR(IF(AB$19=Takstblad!L$3,VLOOKUP('B1'!$A36,takstblad,10,FALSE)*'B1'!L36,"fejl i år"),0)</f>
        <v>0</v>
      </c>
      <c r="AC36" s="21">
        <f t="shared" si="55"/>
        <v>0</v>
      </c>
      <c r="AD36" s="232"/>
      <c r="AE36" s="25">
        <f t="shared" si="40"/>
        <v>0</v>
      </c>
      <c r="AF36" s="25">
        <f t="shared" si="41"/>
        <v>0</v>
      </c>
      <c r="AG36" s="232"/>
      <c r="AH36" s="25">
        <f t="shared" si="42"/>
        <v>0</v>
      </c>
      <c r="AI36" s="25">
        <f t="shared" si="43"/>
        <v>0</v>
      </c>
      <c r="AJ36" s="232"/>
      <c r="AK36" s="25">
        <f t="shared" si="44"/>
        <v>0</v>
      </c>
      <c r="AL36" s="25">
        <f t="shared" si="45"/>
        <v>0</v>
      </c>
      <c r="AM36" s="232"/>
      <c r="AN36" s="25">
        <f t="shared" si="46"/>
        <v>0</v>
      </c>
      <c r="AO36" s="25">
        <f t="shared" si="47"/>
        <v>0</v>
      </c>
      <c r="AP36" s="232"/>
      <c r="AQ36" s="25">
        <f t="shared" si="48"/>
        <v>0</v>
      </c>
      <c r="AR36" s="25">
        <f t="shared" si="49"/>
        <v>0</v>
      </c>
      <c r="AS36" s="232"/>
      <c r="AT36" s="25">
        <f t="shared" si="50"/>
        <v>0</v>
      </c>
      <c r="AU36" s="25">
        <f t="shared" si="51"/>
        <v>0</v>
      </c>
      <c r="AV36" s="232"/>
      <c r="AW36" s="25">
        <f t="shared" si="52"/>
        <v>0</v>
      </c>
      <c r="AX36" s="25">
        <f t="shared" si="53"/>
        <v>0</v>
      </c>
      <c r="AY36" s="232"/>
      <c r="AZ36" s="25">
        <f t="shared" si="56"/>
        <v>0</v>
      </c>
      <c r="BA36" s="25">
        <f t="shared" si="57"/>
        <v>0</v>
      </c>
      <c r="BB36" s="232"/>
      <c r="BC36" s="25">
        <f t="shared" si="58"/>
        <v>0</v>
      </c>
      <c r="BD36" s="25">
        <f t="shared" si="59"/>
        <v>0</v>
      </c>
      <c r="BE36" s="232"/>
      <c r="BF36" s="25">
        <f t="shared" si="60"/>
        <v>0</v>
      </c>
      <c r="BG36" s="25">
        <f t="shared" si="61"/>
        <v>0</v>
      </c>
      <c r="BH36" s="232"/>
      <c r="BI36" s="25">
        <f t="shared" si="62"/>
        <v>0</v>
      </c>
      <c r="BJ36" s="25">
        <f t="shared" si="63"/>
        <v>0</v>
      </c>
    </row>
    <row r="37" spans="1:66" ht="15.6" customHeight="1" x14ac:dyDescent="0.2">
      <c r="A37" s="223" t="s">
        <v>1314</v>
      </c>
      <c r="B37" s="224">
        <f>+VLOOKUP(A37,Takstblad!$A$33:$B$51,2,FALSE)</f>
        <v>0</v>
      </c>
      <c r="C37" s="299"/>
      <c r="D37" s="299"/>
      <c r="E37" s="299"/>
      <c r="F37" s="299"/>
      <c r="G37" s="299"/>
      <c r="H37" s="299"/>
      <c r="I37" s="299"/>
      <c r="J37" s="299"/>
      <c r="K37" s="299"/>
      <c r="L37" s="299"/>
      <c r="M37" s="19">
        <f t="shared" si="54"/>
        <v>0</v>
      </c>
      <c r="N37" s="299"/>
      <c r="O37" s="299" t="s">
        <v>113</v>
      </c>
      <c r="P37" s="223"/>
      <c r="Q37" s="229"/>
      <c r="R37" s="227">
        <f t="shared" si="39"/>
        <v>0</v>
      </c>
      <c r="S37" s="226">
        <f>+IFERROR(IF(S$19=Takstblad!C$3,VLOOKUP('B1'!$A37,takstblad,3,FALSE)*'B1'!C37,"fejl i år"),0)</f>
        <v>0</v>
      </c>
      <c r="T37" s="226">
        <f>+IFERROR(IF(T$19=Takstblad!D$3,VLOOKUP('B1'!$A37,takstblad,4,FALSE)*'B1'!D37,"fejl i år"),0)</f>
        <v>0</v>
      </c>
      <c r="U37" s="226">
        <f>+IFERROR(IF(U$19=Takstblad!E$3,VLOOKUP('B1'!$A37,takstblad,5,FALSE)*'B1'!E37,"fejl i år"),0)</f>
        <v>0</v>
      </c>
      <c r="V37" s="226">
        <f>+IFERROR(IF(V$19=Takstblad!F$3,VLOOKUP('B1'!$A37,takstblad,6,FALSE)*'B1'!F37,"fejl i år"),0)</f>
        <v>0</v>
      </c>
      <c r="W37" s="226">
        <f>+IFERROR(IF(W$19=Takstblad!G$3,VLOOKUP('B1'!$A37,takstblad,7,FALSE)*'B1'!G37,"fejl i år"),0)</f>
        <v>0</v>
      </c>
      <c r="X37" s="226">
        <f>+IFERROR(IF(X$19=Takstblad!H$3,VLOOKUP('B1'!$A37,takstblad,8,FALSE)*'B1'!H37,"fejl i år"),0)</f>
        <v>0</v>
      </c>
      <c r="Y37" s="226">
        <f>+IFERROR(IF(Y$19=Takstblad!I$3,VLOOKUP('B1'!$A37,takstblad,9,FALSE)*'B1'!I37,"fejl i år"),0)</f>
        <v>0</v>
      </c>
      <c r="Z37" s="226">
        <f>+IFERROR(IF(Z$19=Takstblad!J$3,VLOOKUP('B1'!$A37,takstblad,10,FALSE)*'B1'!J37,"fejl i år"),0)</f>
        <v>0</v>
      </c>
      <c r="AA37" s="226">
        <f>+IFERROR(IF(AA$19=Takstblad!K$3,VLOOKUP('B1'!$A37,takstblad,10,FALSE)*'B1'!K37,"fejl i år"),0)</f>
        <v>0</v>
      </c>
      <c r="AB37" s="226">
        <f>+IFERROR(IF(AB$19=Takstblad!L$3,VLOOKUP('B1'!$A37,takstblad,10,FALSE)*'B1'!L37,"fejl i år"),0)</f>
        <v>0</v>
      </c>
      <c r="AC37" s="227">
        <f t="shared" si="55"/>
        <v>0</v>
      </c>
      <c r="AD37" s="232"/>
      <c r="AE37" s="228">
        <f t="shared" si="40"/>
        <v>0</v>
      </c>
      <c r="AF37" s="228">
        <f t="shared" si="41"/>
        <v>0</v>
      </c>
      <c r="AG37" s="232"/>
      <c r="AH37" s="228">
        <f t="shared" si="42"/>
        <v>0</v>
      </c>
      <c r="AI37" s="228">
        <f t="shared" si="43"/>
        <v>0</v>
      </c>
      <c r="AJ37" s="232"/>
      <c r="AK37" s="226">
        <f t="shared" si="44"/>
        <v>0</v>
      </c>
      <c r="AL37" s="226">
        <f t="shared" si="45"/>
        <v>0</v>
      </c>
      <c r="AM37" s="232"/>
      <c r="AN37" s="226">
        <f t="shared" si="46"/>
        <v>0</v>
      </c>
      <c r="AO37" s="226">
        <f t="shared" si="47"/>
        <v>0</v>
      </c>
      <c r="AP37" s="232"/>
      <c r="AQ37" s="226">
        <f t="shared" si="48"/>
        <v>0</v>
      </c>
      <c r="AR37" s="226">
        <f t="shared" si="49"/>
        <v>0</v>
      </c>
      <c r="AS37" s="232"/>
      <c r="AT37" s="226">
        <f t="shared" si="50"/>
        <v>0</v>
      </c>
      <c r="AU37" s="226">
        <f t="shared" si="51"/>
        <v>0</v>
      </c>
      <c r="AV37" s="232"/>
      <c r="AW37" s="226">
        <f t="shared" si="52"/>
        <v>0</v>
      </c>
      <c r="AX37" s="226">
        <f t="shared" si="53"/>
        <v>0</v>
      </c>
      <c r="AY37" s="232"/>
      <c r="AZ37" s="226">
        <f t="shared" si="56"/>
        <v>0</v>
      </c>
      <c r="BA37" s="226">
        <f t="shared" si="57"/>
        <v>0</v>
      </c>
      <c r="BB37" s="232"/>
      <c r="BC37" s="226">
        <f t="shared" si="58"/>
        <v>0</v>
      </c>
      <c r="BD37" s="226">
        <f t="shared" si="59"/>
        <v>0</v>
      </c>
      <c r="BE37" s="232"/>
      <c r="BF37" s="226">
        <f t="shared" si="60"/>
        <v>0</v>
      </c>
      <c r="BG37" s="226">
        <f t="shared" si="61"/>
        <v>0</v>
      </c>
      <c r="BH37" s="232"/>
      <c r="BI37" s="226">
        <f t="shared" si="62"/>
        <v>0</v>
      </c>
      <c r="BJ37" s="226">
        <f t="shared" si="63"/>
        <v>0</v>
      </c>
    </row>
    <row r="38" spans="1:66" ht="15.6" customHeight="1" x14ac:dyDescent="0.2">
      <c r="A38" s="7" t="s">
        <v>1314</v>
      </c>
      <c r="B38" s="4">
        <f>+VLOOKUP(A38,Takstblad!$A$33:$B$51,2,FALSE)</f>
        <v>0</v>
      </c>
      <c r="C38" s="299"/>
      <c r="D38" s="299"/>
      <c r="E38" s="299"/>
      <c r="F38" s="299"/>
      <c r="G38" s="299"/>
      <c r="H38" s="299"/>
      <c r="I38" s="299"/>
      <c r="J38" s="299"/>
      <c r="K38" s="299"/>
      <c r="L38" s="299"/>
      <c r="M38" s="19">
        <f t="shared" si="54"/>
        <v>0</v>
      </c>
      <c r="N38" s="299"/>
      <c r="O38" s="299" t="s">
        <v>113</v>
      </c>
      <c r="Q38" s="26"/>
      <c r="R38" s="21">
        <f t="shared" si="39"/>
        <v>0</v>
      </c>
      <c r="S38" s="25">
        <f>+IFERROR(IF(S$19=Takstblad!C$3,VLOOKUP('B1'!$A38,takstblad,3,FALSE)*'B1'!C38,"fejl i år"),0)</f>
        <v>0</v>
      </c>
      <c r="T38" s="25">
        <f>+IFERROR(IF(T$19=Takstblad!D$3,VLOOKUP('B1'!$A38,takstblad,4,FALSE)*'B1'!D38,"fejl i år"),0)</f>
        <v>0</v>
      </c>
      <c r="U38" s="25">
        <f>+IFERROR(IF(U$19=Takstblad!E$3,VLOOKUP('B1'!$A38,takstblad,5,FALSE)*'B1'!E38,"fejl i år"),0)</f>
        <v>0</v>
      </c>
      <c r="V38" s="25">
        <f>+IFERROR(IF(V$19=Takstblad!F$3,VLOOKUP('B1'!$A38,takstblad,6,FALSE)*'B1'!F38,"fejl i år"),0)</f>
        <v>0</v>
      </c>
      <c r="W38" s="25">
        <f>+IFERROR(IF(W$19=Takstblad!G$3,VLOOKUP('B1'!$A38,takstblad,7,FALSE)*'B1'!G38,"fejl i år"),0)</f>
        <v>0</v>
      </c>
      <c r="X38" s="25">
        <f>+IFERROR(IF(X$19=Takstblad!H$3,VLOOKUP('B1'!$A38,takstblad,8,FALSE)*'B1'!H38,"fejl i år"),0)</f>
        <v>0</v>
      </c>
      <c r="Y38" s="25">
        <f>+IFERROR(IF(Y$19=Takstblad!I$3,VLOOKUP('B1'!$A38,takstblad,9,FALSE)*'B1'!I38,"fejl i år"),0)</f>
        <v>0</v>
      </c>
      <c r="Z38" s="25">
        <f>+IFERROR(IF(Z$19=Takstblad!J$3,VLOOKUP('B1'!$A38,takstblad,10,FALSE)*'B1'!J38,"fejl i år"),0)</f>
        <v>0</v>
      </c>
      <c r="AA38" s="25">
        <f>+IFERROR(IF(AA$19=Takstblad!K$3,VLOOKUP('B1'!$A38,takstblad,10,FALSE)*'B1'!K38,"fejl i år"),0)</f>
        <v>0</v>
      </c>
      <c r="AB38" s="25">
        <f>+IFERROR(IF(AB$19=Takstblad!L$3,VLOOKUP('B1'!$A38,takstblad,10,FALSE)*'B1'!L38,"fejl i år"),0)</f>
        <v>0</v>
      </c>
      <c r="AC38" s="21">
        <f t="shared" si="55"/>
        <v>0</v>
      </c>
      <c r="AD38" s="232"/>
      <c r="AE38" s="25">
        <f t="shared" si="40"/>
        <v>0</v>
      </c>
      <c r="AF38" s="25">
        <f t="shared" si="41"/>
        <v>0</v>
      </c>
      <c r="AG38" s="232"/>
      <c r="AH38" s="25">
        <f t="shared" si="42"/>
        <v>0</v>
      </c>
      <c r="AI38" s="25">
        <f t="shared" si="43"/>
        <v>0</v>
      </c>
      <c r="AJ38" s="232"/>
      <c r="AK38" s="25">
        <f t="shared" si="44"/>
        <v>0</v>
      </c>
      <c r="AL38" s="25">
        <f t="shared" si="45"/>
        <v>0</v>
      </c>
      <c r="AM38" s="232"/>
      <c r="AN38" s="25">
        <f t="shared" si="46"/>
        <v>0</v>
      </c>
      <c r="AO38" s="25">
        <f t="shared" si="47"/>
        <v>0</v>
      </c>
      <c r="AP38" s="232"/>
      <c r="AQ38" s="25">
        <f t="shared" si="48"/>
        <v>0</v>
      </c>
      <c r="AR38" s="25">
        <f t="shared" si="49"/>
        <v>0</v>
      </c>
      <c r="AS38" s="232"/>
      <c r="AT38" s="25">
        <f t="shared" si="50"/>
        <v>0</v>
      </c>
      <c r="AU38" s="25">
        <f t="shared" si="51"/>
        <v>0</v>
      </c>
      <c r="AV38" s="232"/>
      <c r="AW38" s="25">
        <f t="shared" si="52"/>
        <v>0</v>
      </c>
      <c r="AX38" s="25">
        <f t="shared" si="53"/>
        <v>0</v>
      </c>
      <c r="AY38" s="232"/>
      <c r="AZ38" s="25">
        <f t="shared" si="56"/>
        <v>0</v>
      </c>
      <c r="BA38" s="25">
        <f t="shared" si="57"/>
        <v>0</v>
      </c>
      <c r="BB38" s="232"/>
      <c r="BC38" s="25">
        <f t="shared" si="58"/>
        <v>0</v>
      </c>
      <c r="BD38" s="25">
        <f t="shared" si="59"/>
        <v>0</v>
      </c>
      <c r="BE38" s="232"/>
      <c r="BF38" s="25">
        <f t="shared" si="60"/>
        <v>0</v>
      </c>
      <c r="BG38" s="25">
        <f t="shared" si="61"/>
        <v>0</v>
      </c>
      <c r="BH38" s="232"/>
      <c r="BI38" s="25">
        <f t="shared" si="62"/>
        <v>0</v>
      </c>
      <c r="BJ38" s="25">
        <f t="shared" si="63"/>
        <v>0</v>
      </c>
    </row>
    <row r="39" spans="1:66" ht="15.6" customHeight="1" x14ac:dyDescent="0.2">
      <c r="A39" s="223" t="s">
        <v>1314</v>
      </c>
      <c r="B39" s="224">
        <f>+VLOOKUP(A39,Takstblad!$A$33:$B$51,2,FALSE)</f>
        <v>0</v>
      </c>
      <c r="C39" s="299"/>
      <c r="D39" s="299"/>
      <c r="E39" s="299"/>
      <c r="F39" s="299"/>
      <c r="G39" s="299"/>
      <c r="H39" s="299"/>
      <c r="I39" s="299"/>
      <c r="J39" s="299"/>
      <c r="K39" s="299"/>
      <c r="L39" s="299"/>
      <c r="M39" s="19">
        <f t="shared" si="54"/>
        <v>0</v>
      </c>
      <c r="N39" s="299"/>
      <c r="O39" s="299" t="s">
        <v>113</v>
      </c>
      <c r="P39" s="223"/>
      <c r="Q39" s="229"/>
      <c r="R39" s="227">
        <f t="shared" si="39"/>
        <v>0</v>
      </c>
      <c r="S39" s="226">
        <f>+IFERROR(IF(S$19=Takstblad!C$3,VLOOKUP('B1'!$A39,takstblad,3,FALSE)*'B1'!C39,"fejl i år"),0)</f>
        <v>0</v>
      </c>
      <c r="T39" s="226">
        <f>+IFERROR(IF(T$19=Takstblad!D$3,VLOOKUP('B1'!$A39,takstblad,4,FALSE)*'B1'!D39,"fejl i år"),0)</f>
        <v>0</v>
      </c>
      <c r="U39" s="226">
        <f>+IFERROR(IF(U$19=Takstblad!E$3,VLOOKUP('B1'!$A39,takstblad,5,FALSE)*'B1'!E39,"fejl i år"),0)</f>
        <v>0</v>
      </c>
      <c r="V39" s="226">
        <f>+IFERROR(IF(V$19=Takstblad!F$3,VLOOKUP('B1'!$A39,takstblad,6,FALSE)*'B1'!F39,"fejl i år"),0)</f>
        <v>0</v>
      </c>
      <c r="W39" s="226">
        <f>+IFERROR(IF(W$19=Takstblad!G$3,VLOOKUP('B1'!$A39,takstblad,7,FALSE)*'B1'!G39,"fejl i år"),0)</f>
        <v>0</v>
      </c>
      <c r="X39" s="226">
        <f>+IFERROR(IF(X$19=Takstblad!H$3,VLOOKUP('B1'!$A39,takstblad,8,FALSE)*'B1'!H39,"fejl i år"),0)</f>
        <v>0</v>
      </c>
      <c r="Y39" s="226">
        <f>+IFERROR(IF(Y$19=Takstblad!I$3,VLOOKUP('B1'!$A39,takstblad,9,FALSE)*'B1'!I39,"fejl i år"),0)</f>
        <v>0</v>
      </c>
      <c r="Z39" s="226">
        <f>+IFERROR(IF(Z$19=Takstblad!J$3,VLOOKUP('B1'!$A39,takstblad,10,FALSE)*'B1'!J39,"fejl i år"),0)</f>
        <v>0</v>
      </c>
      <c r="AA39" s="226">
        <f>+IFERROR(IF(AA$19=Takstblad!K$3,VLOOKUP('B1'!$A39,takstblad,10,FALSE)*'B1'!K39,"fejl i år"),0)</f>
        <v>0</v>
      </c>
      <c r="AB39" s="226">
        <f>+IFERROR(IF(AB$19=Takstblad!L$3,VLOOKUP('B1'!$A39,takstblad,10,FALSE)*'B1'!L39,"fejl i år"),0)</f>
        <v>0</v>
      </c>
      <c r="AC39" s="227">
        <f t="shared" si="55"/>
        <v>0</v>
      </c>
      <c r="AD39" s="232"/>
      <c r="AE39" s="228">
        <f t="shared" si="40"/>
        <v>0</v>
      </c>
      <c r="AF39" s="228">
        <f t="shared" si="41"/>
        <v>0</v>
      </c>
      <c r="AG39" s="232"/>
      <c r="AH39" s="228">
        <f t="shared" si="42"/>
        <v>0</v>
      </c>
      <c r="AI39" s="228">
        <f t="shared" si="43"/>
        <v>0</v>
      </c>
      <c r="AJ39" s="232"/>
      <c r="AK39" s="226">
        <f t="shared" si="44"/>
        <v>0</v>
      </c>
      <c r="AL39" s="226">
        <f t="shared" si="45"/>
        <v>0</v>
      </c>
      <c r="AM39" s="232"/>
      <c r="AN39" s="226">
        <f t="shared" si="46"/>
        <v>0</v>
      </c>
      <c r="AO39" s="226">
        <f t="shared" si="47"/>
        <v>0</v>
      </c>
      <c r="AP39" s="232"/>
      <c r="AQ39" s="226">
        <f t="shared" si="48"/>
        <v>0</v>
      </c>
      <c r="AR39" s="226">
        <f t="shared" si="49"/>
        <v>0</v>
      </c>
      <c r="AS39" s="232"/>
      <c r="AT39" s="226">
        <f t="shared" si="50"/>
        <v>0</v>
      </c>
      <c r="AU39" s="226">
        <f t="shared" si="51"/>
        <v>0</v>
      </c>
      <c r="AV39" s="232"/>
      <c r="AW39" s="226">
        <f t="shared" si="52"/>
        <v>0</v>
      </c>
      <c r="AX39" s="226">
        <f t="shared" si="53"/>
        <v>0</v>
      </c>
      <c r="AY39" s="232"/>
      <c r="AZ39" s="226">
        <f t="shared" si="56"/>
        <v>0</v>
      </c>
      <c r="BA39" s="226">
        <f t="shared" si="57"/>
        <v>0</v>
      </c>
      <c r="BB39" s="232"/>
      <c r="BC39" s="226">
        <f t="shared" si="58"/>
        <v>0</v>
      </c>
      <c r="BD39" s="226">
        <f t="shared" si="59"/>
        <v>0</v>
      </c>
      <c r="BE39" s="232"/>
      <c r="BF39" s="226">
        <f t="shared" si="60"/>
        <v>0</v>
      </c>
      <c r="BG39" s="226">
        <f t="shared" si="61"/>
        <v>0</v>
      </c>
      <c r="BH39" s="232"/>
      <c r="BI39" s="226">
        <f t="shared" si="62"/>
        <v>0</v>
      </c>
      <c r="BJ39" s="226">
        <f t="shared" si="63"/>
        <v>0</v>
      </c>
    </row>
    <row r="40" spans="1:66" ht="15.6" customHeight="1" x14ac:dyDescent="0.2">
      <c r="A40" s="7" t="s">
        <v>1314</v>
      </c>
      <c r="B40" s="4">
        <f>+VLOOKUP(A40,Takstblad!$A$33:$B$51,2,FALSE)</f>
        <v>0</v>
      </c>
      <c r="C40" s="299"/>
      <c r="D40" s="299"/>
      <c r="E40" s="299"/>
      <c r="F40" s="299"/>
      <c r="G40" s="299"/>
      <c r="H40" s="299"/>
      <c r="I40" s="299"/>
      <c r="J40" s="299"/>
      <c r="K40" s="299"/>
      <c r="L40" s="299"/>
      <c r="M40" s="19">
        <f t="shared" si="54"/>
        <v>0</v>
      </c>
      <c r="N40" s="299"/>
      <c r="O40" s="299" t="s">
        <v>113</v>
      </c>
      <c r="Q40" s="26"/>
      <c r="R40" s="21">
        <f t="shared" si="39"/>
        <v>0</v>
      </c>
      <c r="S40" s="25">
        <f>+IFERROR(IF(S$19=Takstblad!C$3,VLOOKUP('B1'!$A40,takstblad,3,FALSE)*'B1'!C40,"fejl i år"),0)</f>
        <v>0</v>
      </c>
      <c r="T40" s="25">
        <f>+IFERROR(IF(T$19=Takstblad!D$3,VLOOKUP('B1'!$A40,takstblad,4,FALSE)*'B1'!D40,"fejl i år"),0)</f>
        <v>0</v>
      </c>
      <c r="U40" s="25">
        <f>+IFERROR(IF(U$19=Takstblad!E$3,VLOOKUP('B1'!$A40,takstblad,5,FALSE)*'B1'!E40,"fejl i år"),0)</f>
        <v>0</v>
      </c>
      <c r="V40" s="25">
        <f>+IFERROR(IF(V$19=Takstblad!F$3,VLOOKUP('B1'!$A40,takstblad,6,FALSE)*'B1'!F40,"fejl i år"),0)</f>
        <v>0</v>
      </c>
      <c r="W40" s="25">
        <f>+IFERROR(IF(W$19=Takstblad!G$3,VLOOKUP('B1'!$A40,takstblad,7,FALSE)*'B1'!G40,"fejl i år"),0)</f>
        <v>0</v>
      </c>
      <c r="X40" s="25">
        <f>+IFERROR(IF(X$19=Takstblad!H$3,VLOOKUP('B1'!$A40,takstblad,8,FALSE)*'B1'!H40,"fejl i år"),0)</f>
        <v>0</v>
      </c>
      <c r="Y40" s="25">
        <f>+IFERROR(IF(Y$19=Takstblad!I$3,VLOOKUP('B1'!$A40,takstblad,9,FALSE)*'B1'!I40,"fejl i år"),0)</f>
        <v>0</v>
      </c>
      <c r="Z40" s="25">
        <f>+IFERROR(IF(Z$19=Takstblad!J$3,VLOOKUP('B1'!$A40,takstblad,10,FALSE)*'B1'!J40,"fejl i år"),0)</f>
        <v>0</v>
      </c>
      <c r="AA40" s="25">
        <f>+IFERROR(IF(AA$19=Takstblad!K$3,VLOOKUP('B1'!$A40,takstblad,10,FALSE)*'B1'!K40,"fejl i år"),0)</f>
        <v>0</v>
      </c>
      <c r="AB40" s="25">
        <f>+IFERROR(IF(AB$19=Takstblad!L$3,VLOOKUP('B1'!$A40,takstblad,10,FALSE)*'B1'!L40,"fejl i år"),0)</f>
        <v>0</v>
      </c>
      <c r="AC40" s="21">
        <f t="shared" si="55"/>
        <v>0</v>
      </c>
      <c r="AD40" s="232"/>
      <c r="AE40" s="25">
        <f t="shared" si="40"/>
        <v>0</v>
      </c>
      <c r="AF40" s="25">
        <f t="shared" si="41"/>
        <v>0</v>
      </c>
      <c r="AG40" s="232"/>
      <c r="AH40" s="25">
        <f t="shared" si="42"/>
        <v>0</v>
      </c>
      <c r="AI40" s="25">
        <f t="shared" si="43"/>
        <v>0</v>
      </c>
      <c r="AJ40" s="232"/>
      <c r="AK40" s="25">
        <f t="shared" si="44"/>
        <v>0</v>
      </c>
      <c r="AL40" s="25">
        <f t="shared" si="45"/>
        <v>0</v>
      </c>
      <c r="AM40" s="232"/>
      <c r="AN40" s="25">
        <f t="shared" si="46"/>
        <v>0</v>
      </c>
      <c r="AO40" s="25">
        <f t="shared" si="47"/>
        <v>0</v>
      </c>
      <c r="AP40" s="232"/>
      <c r="AQ40" s="25">
        <f t="shared" si="48"/>
        <v>0</v>
      </c>
      <c r="AR40" s="25">
        <f t="shared" si="49"/>
        <v>0</v>
      </c>
      <c r="AS40" s="232"/>
      <c r="AT40" s="25">
        <f t="shared" si="50"/>
        <v>0</v>
      </c>
      <c r="AU40" s="25">
        <f t="shared" si="51"/>
        <v>0</v>
      </c>
      <c r="AV40" s="232"/>
      <c r="AW40" s="25">
        <f t="shared" si="52"/>
        <v>0</v>
      </c>
      <c r="AX40" s="25">
        <f t="shared" si="53"/>
        <v>0</v>
      </c>
      <c r="AY40" s="232"/>
      <c r="AZ40" s="25">
        <f t="shared" si="56"/>
        <v>0</v>
      </c>
      <c r="BA40" s="25">
        <f t="shared" si="57"/>
        <v>0</v>
      </c>
      <c r="BB40" s="232"/>
      <c r="BC40" s="25">
        <f t="shared" si="58"/>
        <v>0</v>
      </c>
      <c r="BD40" s="25">
        <f t="shared" si="59"/>
        <v>0</v>
      </c>
      <c r="BE40" s="232"/>
      <c r="BF40" s="25">
        <f t="shared" si="60"/>
        <v>0</v>
      </c>
      <c r="BG40" s="25">
        <f t="shared" si="61"/>
        <v>0</v>
      </c>
      <c r="BH40" s="232"/>
      <c r="BI40" s="25">
        <f t="shared" si="62"/>
        <v>0</v>
      </c>
      <c r="BJ40" s="25">
        <f t="shared" si="63"/>
        <v>0</v>
      </c>
    </row>
    <row r="41" spans="1:66" ht="15.6" customHeight="1" x14ac:dyDescent="0.2">
      <c r="A41" s="223" t="s">
        <v>1314</v>
      </c>
      <c r="B41" s="224">
        <f>+VLOOKUP(A41,Takstblad!$A$33:$B$51,2,FALSE)</f>
        <v>0</v>
      </c>
      <c r="C41" s="299"/>
      <c r="D41" s="299"/>
      <c r="E41" s="299"/>
      <c r="F41" s="299"/>
      <c r="G41" s="299"/>
      <c r="H41" s="299"/>
      <c r="I41" s="299"/>
      <c r="J41" s="299"/>
      <c r="K41" s="299"/>
      <c r="L41" s="299"/>
      <c r="M41" s="19">
        <f t="shared" si="54"/>
        <v>0</v>
      </c>
      <c r="N41" s="299"/>
      <c r="O41" s="299" t="s">
        <v>113</v>
      </c>
      <c r="P41" s="223"/>
      <c r="Q41" s="229"/>
      <c r="R41" s="227">
        <f t="shared" si="39"/>
        <v>0</v>
      </c>
      <c r="S41" s="226">
        <f>+IFERROR(IF(S$19=Takstblad!C$3,VLOOKUP('B1'!$A41,takstblad,3,FALSE)*'B1'!C41,"fejl i år"),0)</f>
        <v>0</v>
      </c>
      <c r="T41" s="226">
        <f>+IFERROR(IF(T$19=Takstblad!D$3,VLOOKUP('B1'!$A41,takstblad,4,FALSE)*'B1'!D41,"fejl i år"),0)</f>
        <v>0</v>
      </c>
      <c r="U41" s="226">
        <f>+IFERROR(IF(U$19=Takstblad!E$3,VLOOKUP('B1'!$A41,takstblad,5,FALSE)*'B1'!E41,"fejl i år"),0)</f>
        <v>0</v>
      </c>
      <c r="V41" s="226">
        <f>+IFERROR(IF(V$19=Takstblad!F$3,VLOOKUP('B1'!$A41,takstblad,6,FALSE)*'B1'!F41,"fejl i år"),0)</f>
        <v>0</v>
      </c>
      <c r="W41" s="226">
        <f>+IFERROR(IF(W$19=Takstblad!G$3,VLOOKUP('B1'!$A41,takstblad,7,FALSE)*'B1'!G41,"fejl i år"),0)</f>
        <v>0</v>
      </c>
      <c r="X41" s="226">
        <f>+IFERROR(IF(X$19=Takstblad!H$3,VLOOKUP('B1'!$A41,takstblad,8,FALSE)*'B1'!H41,"fejl i år"),0)</f>
        <v>0</v>
      </c>
      <c r="Y41" s="226">
        <f>+IFERROR(IF(Y$19=Takstblad!I$3,VLOOKUP('B1'!$A41,takstblad,9,FALSE)*'B1'!I41,"fejl i år"),0)</f>
        <v>0</v>
      </c>
      <c r="Z41" s="226">
        <f>+IFERROR(IF(Z$19=Takstblad!J$3,VLOOKUP('B1'!$A41,takstblad,10,FALSE)*'B1'!J41,"fejl i år"),0)</f>
        <v>0</v>
      </c>
      <c r="AA41" s="226">
        <f>+IFERROR(IF(AA$19=Takstblad!K$3,VLOOKUP('B1'!$A41,takstblad,10,FALSE)*'B1'!K41,"fejl i år"),0)</f>
        <v>0</v>
      </c>
      <c r="AB41" s="226">
        <f>+IFERROR(IF(AB$19=Takstblad!L$3,VLOOKUP('B1'!$A41,takstblad,10,FALSE)*'B1'!L41,"fejl i år"),0)</f>
        <v>0</v>
      </c>
      <c r="AC41" s="227">
        <f t="shared" si="55"/>
        <v>0</v>
      </c>
      <c r="AD41" s="232"/>
      <c r="AE41" s="228">
        <f t="shared" si="40"/>
        <v>0</v>
      </c>
      <c r="AF41" s="228">
        <f t="shared" si="41"/>
        <v>0</v>
      </c>
      <c r="AG41" s="232"/>
      <c r="AH41" s="228">
        <f t="shared" si="42"/>
        <v>0</v>
      </c>
      <c r="AI41" s="228">
        <f t="shared" si="43"/>
        <v>0</v>
      </c>
      <c r="AJ41" s="232"/>
      <c r="AK41" s="226">
        <f t="shared" si="44"/>
        <v>0</v>
      </c>
      <c r="AL41" s="226">
        <f t="shared" si="45"/>
        <v>0</v>
      </c>
      <c r="AM41" s="232"/>
      <c r="AN41" s="226">
        <f t="shared" si="46"/>
        <v>0</v>
      </c>
      <c r="AO41" s="226">
        <f t="shared" si="47"/>
        <v>0</v>
      </c>
      <c r="AP41" s="232"/>
      <c r="AQ41" s="226">
        <f t="shared" si="48"/>
        <v>0</v>
      </c>
      <c r="AR41" s="226">
        <f t="shared" si="49"/>
        <v>0</v>
      </c>
      <c r="AS41" s="232"/>
      <c r="AT41" s="226">
        <f t="shared" si="50"/>
        <v>0</v>
      </c>
      <c r="AU41" s="226">
        <f t="shared" si="51"/>
        <v>0</v>
      </c>
      <c r="AV41" s="232"/>
      <c r="AW41" s="226">
        <f t="shared" si="52"/>
        <v>0</v>
      </c>
      <c r="AX41" s="226">
        <f t="shared" si="53"/>
        <v>0</v>
      </c>
      <c r="AY41" s="232"/>
      <c r="AZ41" s="226">
        <f t="shared" si="56"/>
        <v>0</v>
      </c>
      <c r="BA41" s="226">
        <f t="shared" si="57"/>
        <v>0</v>
      </c>
      <c r="BB41" s="232"/>
      <c r="BC41" s="226">
        <f t="shared" si="58"/>
        <v>0</v>
      </c>
      <c r="BD41" s="226">
        <f t="shared" si="59"/>
        <v>0</v>
      </c>
      <c r="BE41" s="232"/>
      <c r="BF41" s="226">
        <f t="shared" si="60"/>
        <v>0</v>
      </c>
      <c r="BG41" s="226">
        <f t="shared" si="61"/>
        <v>0</v>
      </c>
      <c r="BH41" s="232"/>
      <c r="BI41" s="226">
        <f t="shared" si="62"/>
        <v>0</v>
      </c>
      <c r="BJ41" s="226">
        <f t="shared" si="63"/>
        <v>0</v>
      </c>
    </row>
    <row r="42" spans="1:66" ht="15.6" customHeight="1" x14ac:dyDescent="0.2">
      <c r="A42" s="7" t="s">
        <v>1314</v>
      </c>
      <c r="B42" s="4">
        <f>+VLOOKUP(A42,Takstblad!$A$33:$B$51,2,FALSE)</f>
        <v>0</v>
      </c>
      <c r="C42" s="299"/>
      <c r="D42" s="299"/>
      <c r="E42" s="299"/>
      <c r="F42" s="299"/>
      <c r="G42" s="299"/>
      <c r="H42" s="299"/>
      <c r="I42" s="299"/>
      <c r="J42" s="299"/>
      <c r="K42" s="299"/>
      <c r="L42" s="299"/>
      <c r="M42" s="19">
        <f t="shared" si="54"/>
        <v>0</v>
      </c>
      <c r="N42" s="299"/>
      <c r="O42" s="299" t="s">
        <v>113</v>
      </c>
      <c r="Q42" s="23"/>
      <c r="R42" s="21">
        <f t="shared" si="39"/>
        <v>0</v>
      </c>
      <c r="S42" s="25">
        <f>+IFERROR(IF(S$19=Takstblad!C$3,VLOOKUP('B1'!$A42,takstblad,3,FALSE)*'B1'!C42,"fejl i år"),0)</f>
        <v>0</v>
      </c>
      <c r="T42" s="25">
        <f>+IFERROR(IF(T$19=Takstblad!D$3,VLOOKUP('B1'!$A42,takstblad,4,FALSE)*'B1'!D42,"fejl i år"),0)</f>
        <v>0</v>
      </c>
      <c r="U42" s="25">
        <f>+IFERROR(IF(U$19=Takstblad!E$3,VLOOKUP('B1'!$A42,takstblad,5,FALSE)*'B1'!E42,"fejl i år"),0)</f>
        <v>0</v>
      </c>
      <c r="V42" s="25">
        <f>+IFERROR(IF(V$19=Takstblad!F$3,VLOOKUP('B1'!$A42,takstblad,6,FALSE)*'B1'!F42,"fejl i år"),0)</f>
        <v>0</v>
      </c>
      <c r="W42" s="25">
        <f>+IFERROR(IF(W$19=Takstblad!G$3,VLOOKUP('B1'!$A42,takstblad,7,FALSE)*'B1'!G42,"fejl i år"),0)</f>
        <v>0</v>
      </c>
      <c r="X42" s="25">
        <f>+IFERROR(IF(X$19=Takstblad!H$3,VLOOKUP('B1'!$A42,takstblad,8,FALSE)*'B1'!H42,"fejl i år"),0)</f>
        <v>0</v>
      </c>
      <c r="Y42" s="25">
        <f>+IFERROR(IF(Y$19=Takstblad!I$3,VLOOKUP('B1'!$A42,takstblad,9,FALSE)*'B1'!I42,"fejl i år"),0)</f>
        <v>0</v>
      </c>
      <c r="Z42" s="25">
        <f>+IFERROR(IF(Z$19=Takstblad!J$3,VLOOKUP('B1'!$A42,takstblad,10,FALSE)*'B1'!J42,"fejl i år"),0)</f>
        <v>0</v>
      </c>
      <c r="AA42" s="25">
        <f>+IFERROR(IF(AA$19=Takstblad!K$3,VLOOKUP('B1'!$A42,takstblad,10,FALSE)*'B1'!K42,"fejl i år"),0)</f>
        <v>0</v>
      </c>
      <c r="AB42" s="25">
        <f>+IFERROR(IF(AB$19=Takstblad!L$3,VLOOKUP('B1'!$A42,takstblad,10,FALSE)*'B1'!L42,"fejl i år"),0)</f>
        <v>0</v>
      </c>
      <c r="AC42" s="21">
        <f t="shared" si="55"/>
        <v>0</v>
      </c>
      <c r="AD42" s="232"/>
      <c r="AE42" s="25">
        <f t="shared" si="40"/>
        <v>0</v>
      </c>
      <c r="AF42" s="25">
        <f t="shared" si="41"/>
        <v>0</v>
      </c>
      <c r="AG42" s="232"/>
      <c r="AH42" s="25">
        <f t="shared" si="42"/>
        <v>0</v>
      </c>
      <c r="AI42" s="25">
        <f t="shared" si="43"/>
        <v>0</v>
      </c>
      <c r="AJ42" s="232"/>
      <c r="AK42" s="25">
        <f t="shared" si="44"/>
        <v>0</v>
      </c>
      <c r="AL42" s="25">
        <f t="shared" si="45"/>
        <v>0</v>
      </c>
      <c r="AM42" s="232"/>
      <c r="AN42" s="25">
        <f t="shared" si="46"/>
        <v>0</v>
      </c>
      <c r="AO42" s="25">
        <f t="shared" si="47"/>
        <v>0</v>
      </c>
      <c r="AP42" s="232"/>
      <c r="AQ42" s="25">
        <f t="shared" si="48"/>
        <v>0</v>
      </c>
      <c r="AR42" s="25">
        <f t="shared" si="49"/>
        <v>0</v>
      </c>
      <c r="AS42" s="232"/>
      <c r="AT42" s="25">
        <f t="shared" si="50"/>
        <v>0</v>
      </c>
      <c r="AU42" s="25">
        <f t="shared" si="51"/>
        <v>0</v>
      </c>
      <c r="AV42" s="232"/>
      <c r="AW42" s="25">
        <f t="shared" si="52"/>
        <v>0</v>
      </c>
      <c r="AX42" s="25">
        <f t="shared" si="53"/>
        <v>0</v>
      </c>
      <c r="AY42" s="232"/>
      <c r="AZ42" s="25">
        <f t="shared" si="56"/>
        <v>0</v>
      </c>
      <c r="BA42" s="25">
        <f t="shared" si="57"/>
        <v>0</v>
      </c>
      <c r="BB42" s="232"/>
      <c r="BC42" s="25">
        <f t="shared" si="58"/>
        <v>0</v>
      </c>
      <c r="BD42" s="25">
        <f t="shared" si="59"/>
        <v>0</v>
      </c>
      <c r="BE42" s="232"/>
      <c r="BF42" s="25">
        <f t="shared" si="60"/>
        <v>0</v>
      </c>
      <c r="BG42" s="25">
        <f t="shared" si="61"/>
        <v>0</v>
      </c>
      <c r="BH42" s="232"/>
      <c r="BI42" s="25">
        <f t="shared" si="62"/>
        <v>0</v>
      </c>
      <c r="BJ42" s="25">
        <f t="shared" si="63"/>
        <v>0</v>
      </c>
    </row>
    <row r="43" spans="1:66" s="11" customFormat="1" ht="15.6" customHeight="1" x14ac:dyDescent="0.2">
      <c r="A43" s="5" t="s">
        <v>232</v>
      </c>
      <c r="B43" s="4"/>
      <c r="C43" s="166">
        <f>IF($C$12=2,0,IF($C$8="Project-supplement",0,S43/Takstblad!C54))</f>
        <v>0</v>
      </c>
      <c r="D43" s="166">
        <f>IF($C$12=2,0,IF($C$8="Project-supplement",0,T43/Takstblad!D54))</f>
        <v>0</v>
      </c>
      <c r="E43" s="166">
        <f>IF($C$12=2,0,IF($C$8="Project-supplement",0,U43/Takstblad!E54))</f>
        <v>0</v>
      </c>
      <c r="F43" s="166">
        <f>IF($C$12=2,0,IF($C$8="Project-supplement",0,V43/Takstblad!F54))</f>
        <v>0</v>
      </c>
      <c r="G43" s="166">
        <f>IF($C$12=2,0,IF($C$8="Project-supplement",0,W43/Takstblad!G54))</f>
        <v>0</v>
      </c>
      <c r="H43" s="166">
        <f>IF($C$12=2,0,IF($C$8="Project-supplement",0,X43/Takstblad!H54))</f>
        <v>0</v>
      </c>
      <c r="I43" s="166">
        <f>IF($C$12=2,0,IF($C$8="Project-supplement",0,Y43/Takstblad!I54))</f>
        <v>0</v>
      </c>
      <c r="J43" s="166">
        <f>IF($C$12=2,0,IF($C$8="Project-supplement",0,Z43/Takstblad!J54))</f>
        <v>0</v>
      </c>
      <c r="K43" s="166">
        <f>IF($C$12=2,0,IF($C$8="Project-supplement",0,AA43/Takstblad!K54))</f>
        <v>0</v>
      </c>
      <c r="L43" s="166">
        <f>IF($C$12=2,0,IF($C$8="Project-supplement",0,AB43/Takstblad!L54))</f>
        <v>0</v>
      </c>
      <c r="M43" s="65">
        <f t="shared" si="54"/>
        <v>0</v>
      </c>
      <c r="N43" s="167"/>
      <c r="O43" s="168" t="s">
        <v>152</v>
      </c>
      <c r="Q43" s="27"/>
      <c r="R43" s="21">
        <f>+AC43</f>
        <v>0</v>
      </c>
      <c r="S43" s="25">
        <f>IFERROR(IF($C$12=2,0,IF(OR($G$7="salary and operations",$G$7="Salary"),VLOOKUP($C$2,Takstblad!$B$55:$L$67,2,FALSE)*C$48,0)),0)</f>
        <v>0</v>
      </c>
      <c r="T43" s="25">
        <f>IFERROR(IF($C$12=2,0,IF(OR($G$7="salary and operations",$G$7="Salary"),VLOOKUP($C$2,Takstblad!$B$55:$L$67,2,FALSE)*D$48,0)),0)</f>
        <v>0</v>
      </c>
      <c r="U43" s="25">
        <f>IFERROR(IF($C$12=2,0,IF(OR($G$7="salary and operations",$G$7="Salary"),VLOOKUP($C$2,Takstblad!$B$55:$L$67,2,FALSE)*E$48,0)),0)</f>
        <v>0</v>
      </c>
      <c r="V43" s="25">
        <f>IFERROR(IF($C$12=2,0,IF(OR($G$7="salary and operations",$G$7="Salary"),VLOOKUP($C$2,Takstblad!$B$55:$L$67,2,FALSE)*F$48,0)),0)</f>
        <v>0</v>
      </c>
      <c r="W43" s="25">
        <f>IFERROR(IF($C$12=2,0,IF(OR($G$7="salary and operations",$G$7="Salary"),VLOOKUP($C$2,Takstblad!$B$55:$L$67,2,FALSE)*G$48,0)),0)</f>
        <v>0</v>
      </c>
      <c r="X43" s="25">
        <f>IFERROR(IF($C$12=2,0,IF(OR($G$7="salary and operations",$G$7="Salary"),VLOOKUP($C$2,Takstblad!$B$55:$L$67,2,FALSE)*H$48,0)),0)</f>
        <v>0</v>
      </c>
      <c r="Y43" s="25">
        <f>IFERROR(IF($C$12=2,0,IF(OR($G$7="salary and operations",$G$7="Salary"),VLOOKUP($C$2,Takstblad!$B$55:$L$67,2,FALSE)*I$48,0)),0)</f>
        <v>0</v>
      </c>
      <c r="Z43" s="25">
        <f>IFERROR(IF($C$12=2,0,IF(OR($G$7="salary and operations",$G$7="Salary"),VLOOKUP($C$2,Takstblad!$B$55:$L$67,2,FALSE)*J$48,0)),0)</f>
        <v>0</v>
      </c>
      <c r="AA43" s="25">
        <f>IFERROR(IF($C$12=2,0,IF(OR($G$7="salary and operations",$G$7="Salary"),VLOOKUP($C$2,Takstblad!$B$55:$L$67,2,FALSE)*K$48,0)),0)</f>
        <v>0</v>
      </c>
      <c r="AB43" s="25">
        <f>IFERROR(IF($C$12=2,0,IF(OR($G$7="salary and operations",$G$7="Salary"),VLOOKUP($C$2,Takstblad!$B$55:$L$67,2,FALSE)*L$48,0)),0)</f>
        <v>0</v>
      </c>
      <c r="AC43" s="21">
        <f t="shared" si="55"/>
        <v>0</v>
      </c>
      <c r="AD43" s="232"/>
      <c r="AE43" s="25">
        <f>+M43*($C$7/12)</f>
        <v>0</v>
      </c>
      <c r="AF43" s="25">
        <f t="shared" si="41"/>
        <v>0</v>
      </c>
      <c r="AG43" s="7"/>
      <c r="AH43" s="25">
        <f t="shared" si="42"/>
        <v>0</v>
      </c>
      <c r="AI43" s="25">
        <f t="shared" si="43"/>
        <v>0</v>
      </c>
      <c r="AJ43" s="7"/>
      <c r="AK43" s="25">
        <f t="shared" si="44"/>
        <v>0</v>
      </c>
      <c r="AL43" s="25">
        <f t="shared" si="45"/>
        <v>0</v>
      </c>
      <c r="AM43" s="232"/>
      <c r="AN43" s="25">
        <f t="shared" si="46"/>
        <v>0</v>
      </c>
      <c r="AO43" s="25">
        <f t="shared" si="47"/>
        <v>0</v>
      </c>
      <c r="AP43" s="232"/>
      <c r="AQ43" s="25">
        <f t="shared" si="48"/>
        <v>0</v>
      </c>
      <c r="AR43" s="25">
        <f t="shared" si="49"/>
        <v>0</v>
      </c>
      <c r="AS43" s="232"/>
      <c r="AT43" s="25">
        <f t="shared" si="50"/>
        <v>0</v>
      </c>
      <c r="AU43" s="25">
        <f t="shared" si="51"/>
        <v>0</v>
      </c>
      <c r="AV43" s="232"/>
      <c r="AW43" s="25">
        <f t="shared" si="52"/>
        <v>0</v>
      </c>
      <c r="AX43" s="25">
        <f t="shared" si="53"/>
        <v>0</v>
      </c>
      <c r="AY43" s="7"/>
      <c r="AZ43" s="25">
        <f t="shared" si="56"/>
        <v>0</v>
      </c>
      <c r="BA43" s="25">
        <f t="shared" si="57"/>
        <v>0</v>
      </c>
      <c r="BB43" s="7"/>
      <c r="BC43" s="25">
        <f t="shared" si="58"/>
        <v>0</v>
      </c>
      <c r="BD43" s="25">
        <f t="shared" si="59"/>
        <v>0</v>
      </c>
      <c r="BE43" s="7"/>
      <c r="BF43" s="25">
        <f t="shared" si="60"/>
        <v>0</v>
      </c>
      <c r="BG43" s="25">
        <f t="shared" si="61"/>
        <v>0</v>
      </c>
      <c r="BH43" s="7"/>
      <c r="BI43" s="25">
        <f t="shared" si="62"/>
        <v>0</v>
      </c>
      <c r="BJ43" s="25">
        <f t="shared" si="63"/>
        <v>0</v>
      </c>
      <c r="BK43" s="7"/>
      <c r="BL43" s="7"/>
      <c r="BM43" s="7"/>
      <c r="BN43" s="7"/>
    </row>
    <row r="44" spans="1:66" s="11" customFormat="1" ht="15.6" customHeight="1" x14ac:dyDescent="0.2">
      <c r="A44" s="5" t="s">
        <v>233</v>
      </c>
      <c r="B44" s="4"/>
      <c r="C44" s="166">
        <f>IF($C$12=2,0,IF($C$8="project-supplement",0,S44/Takstblad!C54))</f>
        <v>0</v>
      </c>
      <c r="D44" s="166">
        <f>IF($C$12=2,0,IF($C$8="project-supplement",0,T44/Takstblad!D54))</f>
        <v>0</v>
      </c>
      <c r="E44" s="166">
        <f>IF($C$12=2,0,IF($C$8="project-supplement",0,U44/Takstblad!E54))</f>
        <v>0</v>
      </c>
      <c r="F44" s="166">
        <f>IF($C$12=2,0,IF($C$8="project-supplement",0,V44/Takstblad!F54))</f>
        <v>0</v>
      </c>
      <c r="G44" s="166">
        <f>IF($C$12=2,0,IF($C$8="project-supplement",0,W44/Takstblad!G54))</f>
        <v>0</v>
      </c>
      <c r="H44" s="166">
        <f>IF($C$12=2,0,IF($C$8="project-supplement",0,X44/Takstblad!H54))</f>
        <v>0</v>
      </c>
      <c r="I44" s="166">
        <f>IF($C$12=2,0,IF($C$8="project-supplement",0,Y44/Takstblad!I54))</f>
        <v>0</v>
      </c>
      <c r="J44" s="166">
        <f>IF($C$12=2,0,IF($C$8="project-supplement",0,Z44/Takstblad!J54))</f>
        <v>0</v>
      </c>
      <c r="K44" s="166">
        <f>IF($C$12=2,0,IF($C$8="project-supplement",0,AA44/Takstblad!K54))</f>
        <v>0</v>
      </c>
      <c r="L44" s="166">
        <f>IF($C$12=2,0,IF($C$8="project-supplement",0,AB44/Takstblad!L54))</f>
        <v>0</v>
      </c>
      <c r="M44" s="65">
        <f t="shared" si="54"/>
        <v>0</v>
      </c>
      <c r="N44" s="167"/>
      <c r="O44" s="168" t="s">
        <v>112</v>
      </c>
      <c r="Q44" s="27"/>
      <c r="R44" s="21">
        <f t="shared" si="39"/>
        <v>0</v>
      </c>
      <c r="S44" s="25">
        <f>IFERROR(IF($C$12=2,0,IF(OR($G$7="salary and operations",$G$7="Salary"),VLOOKUP($C$2,Takstblad!$B$55:$L$67,2,FALSE)*C$49,0)),0)</f>
        <v>0</v>
      </c>
      <c r="T44" s="25">
        <f>IFERROR(IF($C$12=2,0,IF(OR($G$7="salary and operations",$G$7="Salary"),VLOOKUP($C$2,Takstblad!$B$55:$L$67,2,FALSE)*D$49,0)),0)</f>
        <v>0</v>
      </c>
      <c r="U44" s="25">
        <f>IFERROR(IF($C$12=2,0,IF(OR($G$7="salary and operations",$G$7="Salary"),VLOOKUP($C$2,Takstblad!$B$55:$L$67,2,FALSE)*E$49,0)),0)</f>
        <v>0</v>
      </c>
      <c r="V44" s="25">
        <f>IFERROR(IF($C$12=2,0,IF(OR($G$7="salary and operations",$G$7="Salary"),VLOOKUP($C$2,Takstblad!$B$55:$L$67,2,FALSE)*F$49,0)),0)</f>
        <v>0</v>
      </c>
      <c r="W44" s="25">
        <f>IFERROR(IF($C$12=2,0,IF(OR($G$7="salary and operations",$G$7="Salary"),VLOOKUP($C$2,Takstblad!$B$55:$L$67,2,FALSE)*G$49,0)),0)</f>
        <v>0</v>
      </c>
      <c r="X44" s="25">
        <f>IFERROR(IF($C$12=2,0,IF(OR($G$7="salary and operations",$G$7="Salary"),VLOOKUP($C$2,Takstblad!$B$55:$L$67,2,FALSE)*H$49,0)),0)</f>
        <v>0</v>
      </c>
      <c r="Y44" s="25">
        <f>IFERROR(IF($C$12=2,0,IF(OR($G$7="salary and operations",$G$7="Salary"),VLOOKUP($C$2,Takstblad!$B$55:$L$67,2,FALSE)*I$49,0)),0)</f>
        <v>0</v>
      </c>
      <c r="Z44" s="25">
        <f>IFERROR(IF($C$12=2,0,IF(OR($G$7="salary and operations",$G$7="Salary"),VLOOKUP($C$2,Takstblad!$B$55:$L$67,2,FALSE)*J$49,0)),0)</f>
        <v>0</v>
      </c>
      <c r="AA44" s="25">
        <f>IFERROR(IF($C$12=2,0,IF(OR($G$7="salary and operations",$G$7="Salary"),VLOOKUP($C$2,Takstblad!$B$55:$L$67,2,FALSE)*K$49,0)),0)</f>
        <v>0</v>
      </c>
      <c r="AB44" s="25">
        <f>IFERROR(IF($C$12=2,0,IF(OR($G$7="salary and operations",$G$7="Salary"),VLOOKUP($C$2,Takstblad!$B$55:$L$67,2,FALSE)*L$49,0)),0)</f>
        <v>0</v>
      </c>
      <c r="AC44" s="21">
        <f t="shared" si="55"/>
        <v>0</v>
      </c>
      <c r="AD44" s="7"/>
      <c r="AE44" s="25">
        <f t="shared" ref="AE44:AE45" si="64">+M44*($C$7/12)</f>
        <v>0</v>
      </c>
      <c r="AF44" s="25">
        <f t="shared" ref="AF44:AF45" si="65">IFERROR(AC44/AE44,0)</f>
        <v>0</v>
      </c>
      <c r="AG44" s="7"/>
      <c r="AH44" s="25">
        <f t="shared" ref="AH44:AH45" si="66">+C44*($C$7/12)</f>
        <v>0</v>
      </c>
      <c r="AI44" s="25">
        <f t="shared" ref="AI44:AI45" si="67">IFERROR(S44/AH44,0)</f>
        <v>0</v>
      </c>
      <c r="AJ44" s="7"/>
      <c r="AK44" s="25">
        <f t="shared" ref="AK44:AK45" si="68">+D44*($C$7/12)</f>
        <v>0</v>
      </c>
      <c r="AL44" s="25">
        <f t="shared" ref="AL44:AL45" si="69">IFERROR(T44/AK44,0)</f>
        <v>0</v>
      </c>
      <c r="AM44" s="7"/>
      <c r="AN44" s="25">
        <f t="shared" ref="AN44:AN45" si="70">+E44*($C$7/12)</f>
        <v>0</v>
      </c>
      <c r="AO44" s="25">
        <f t="shared" ref="AO44:AO45" si="71">IFERROR(U44/AN44,0)</f>
        <v>0</v>
      </c>
      <c r="AP44" s="232"/>
      <c r="AQ44" s="25">
        <f t="shared" ref="AQ44:AQ45" si="72">+F44*($C$7/12)</f>
        <v>0</v>
      </c>
      <c r="AR44" s="25">
        <f t="shared" ref="AR44:AR45" si="73">IFERROR(V44/AQ44,0)</f>
        <v>0</v>
      </c>
      <c r="AS44" s="7"/>
      <c r="AT44" s="25">
        <f t="shared" ref="AT44:AT45" si="74">+G44*($C$7/12)</f>
        <v>0</v>
      </c>
      <c r="AU44" s="25">
        <f t="shared" ref="AU44:AU45" si="75">IFERROR(W44/AT44,0)</f>
        <v>0</v>
      </c>
      <c r="AV44" s="7"/>
      <c r="AW44" s="25">
        <f t="shared" ref="AW44:AW45" si="76">+H44*($C$7/12)</f>
        <v>0</v>
      </c>
      <c r="AX44" s="25">
        <f t="shared" ref="AX44:AX45" si="77">IFERROR(X44/AW44,0)</f>
        <v>0</v>
      </c>
      <c r="AY44" s="7"/>
      <c r="AZ44" s="25">
        <f t="shared" ref="AZ44:AZ45" si="78">+I44*($C$7/12)</f>
        <v>0</v>
      </c>
      <c r="BA44" s="25">
        <f t="shared" ref="BA44:BA45" si="79">IFERROR(Y44/AZ44,0)</f>
        <v>0</v>
      </c>
      <c r="BB44" s="7"/>
      <c r="BC44" s="25">
        <f t="shared" ref="BC44:BC45" si="80">+J44*($C$7/12)</f>
        <v>0</v>
      </c>
      <c r="BD44" s="25">
        <f t="shared" ref="BD44:BD45" si="81">IFERROR(Z44/BC44,0)</f>
        <v>0</v>
      </c>
      <c r="BE44" s="7"/>
      <c r="BF44" s="25">
        <f t="shared" si="60"/>
        <v>0</v>
      </c>
      <c r="BG44" s="25">
        <f t="shared" si="61"/>
        <v>0</v>
      </c>
      <c r="BH44" s="7"/>
      <c r="BI44" s="25">
        <f t="shared" si="62"/>
        <v>0</v>
      </c>
      <c r="BJ44" s="25">
        <f t="shared" si="63"/>
        <v>0</v>
      </c>
      <c r="BK44" s="7"/>
      <c r="BL44" s="7"/>
      <c r="BM44" s="7"/>
      <c r="BN44" s="7"/>
    </row>
    <row r="45" spans="1:66" ht="15.6" customHeight="1" thickBot="1" x14ac:dyDescent="0.25">
      <c r="A45" s="5" t="s">
        <v>772</v>
      </c>
      <c r="B45" s="4"/>
      <c r="C4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$33:$O$42,Lister!$D$29,C$33:C$42)-SUMIFS(C$33:C$42,$O$33:$O$42,Lister!$D$29,$A$33:$A$42,Takstblad!$A$34)-SUMIFS(C$33:C$42,$O$33:$O$42,Lister!$D$29,$A$33:$A$42,Takstblad!$A$36)-SUMIFS(C$33:C$42,$O$33:$O$42,Lister!$D$29,$A$33:$A$42,Takstblad!$A$41)-SUMIFS(C$33:C$42,$O$33:$O$42,Lister!$D$29,$A$33:$A$42,Takstblad!$A$42)+SUMIF($O$33:$O$42,Lister!$D$30,C$33:C$42)-SUMIFS(C$33:C$42,$O$33:$O$42,Lister!$D$30,$A$33:$A$42,Takstblad!$A$34)-SUMIFS(C$33:C$42,$O$33:$O$42,Lister!$D$30,$A$33:$A$42,Takstblad!$A$36)-SUMIFS(C$33:C$42,$O$33:$O$42,Lister!$D$30,$A$33:$A$42,Takstblad!$A$41)-SUMIFS(C$33:C$42,$O$33:$O$42,Lister!$D$30,$A$33:$A$42,Takstblad!$A$42))*0.3),0)</f>
        <v>0</v>
      </c>
      <c r="D45" s="169">
        <f>IF($C$2="FOOD",((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$33:$O$42,Lister!$D$29,D$33:D$42)-SUMIFS(D$33:D$42,$O$33:$O$42,Lister!$D$29,$A$33:$A$42,Takstblad!$A$34)-SUMIFS(D$33:D$42,$O$33:$O$42,Lister!$D$29,$A$33:$A$42,Takstblad!$A$36)-SUMIFS(D$33:D$42,$O$33:$O$42,Lister!$D$29,$A$33:$A$42,Takstblad!$A$41)-SUMIFS(D$33:D$42,$O$33:$O$42,Lister!$D$29,$A$33:$A$42,Takstblad!$A$42)+SUMIF($O$33:$O$42,Lister!$D$30,D$33:D$42)-SUMIFS(D$33:D$42,$O$33:$O$42,Lister!$D$30,$A$33:$A$42,Takstblad!$A$34)-SUMIFS(D$33:D$42,$O$33:$O$42,Lister!$D$30,$A$33:$A$42,Takstblad!$A$36)-SUMIFS(D$33:D$42,$O$33:$O$42,Lister!$D$30,$A$33:$A$42,Takstblad!$A$41)-SUMIFS(D$33:D$42,$O$33:$O$42,Lister!$D$30,$A$33:$A$42,Takstblad!$A$42))*0.3),0)</f>
        <v>0</v>
      </c>
      <c r="E45" s="169">
        <f>IF($C$2="FOOD",((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$33:$O$42,Lister!$D$29,E$33:E$42)-SUMIFS(E$33:E$42,$O$33:$O$42,Lister!$D$29,$A$33:$A$42,Takstblad!$A$34)-SUMIFS(E$33:E$42,$O$33:$O$42,Lister!$D$29,$A$33:$A$42,Takstblad!$A$36)-SUMIFS(E$33:E$42,$O$33:$O$42,Lister!$D$29,$A$33:$A$42,Takstblad!$A$41)-SUMIFS(E$33:E$42,$O$33:$O$42,Lister!$D$29,$A$33:$A$42,Takstblad!$A$42)+SUMIF($O$33:$O$42,Lister!$D$30,E$33:E$42)-SUMIFS(E$33:E$42,$O$33:$O$42,Lister!$D$30,$A$33:$A$42,Takstblad!$A$34)-SUMIFS(E$33:E$42,$O$33:$O$42,Lister!$D$30,$A$33:$A$42,Takstblad!$A$36)-SUMIFS(E$33:E$42,$O$33:$O$42,Lister!$D$30,$A$33:$A$42,Takstblad!$A$41)-SUMIFS(E$33:E$42,$O$33:$O$42,Lister!$D$30,$A$33:$A$42,Takstblad!$A$42))*0.3),0)</f>
        <v>0</v>
      </c>
      <c r="F45" s="169">
        <f>IF($C$2="FOOD",((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$33:$O$42,Lister!$D$29,F$33:F$42)-SUMIFS(F$33:F$42,$O$33:$O$42,Lister!$D$29,$A$33:$A$42,Takstblad!$A$34)-SUMIFS(F$33:F$42,$O$33:$O$42,Lister!$D$29,$A$33:$A$42,Takstblad!$A$36)-SUMIFS(F$33:F$42,$O$33:$O$42,Lister!$D$29,$A$33:$A$42,Takstblad!$A$41)-SUMIFS(F$33:F$42,$O$33:$O$42,Lister!$D$29,$A$33:$A$42,Takstblad!$A$42)+SUMIF($O$33:$O$42,Lister!$D$30,F$33:F$42)-SUMIFS(F$33:F$42,$O$33:$O$42,Lister!$D$30,$A$33:$A$42,Takstblad!$A$34)-SUMIFS(F$33:F$42,$O$33:$O$42,Lister!$D$30,$A$33:$A$42,Takstblad!$A$36)-SUMIFS(F$33:F$42,$O$33:$O$42,Lister!$D$30,$A$33:$A$42,Takstblad!$A$41)-SUMIFS(F$33:F$42,$O$33:$O$42,Lister!$D$30,$A$33:$A$42,Takstblad!$A$42))*0.3),0)</f>
        <v>0</v>
      </c>
      <c r="G45" s="169">
        <f>IF($C$2="FOOD",((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$33:$O$42,Lister!$D$29,G$33:G$42)-SUMIFS(G$33:G$42,$O$33:$O$42,Lister!$D$29,$A$33:$A$42,Takstblad!$A$34)-SUMIFS(G$33:G$42,$O$33:$O$42,Lister!$D$29,$A$33:$A$42,Takstblad!$A$36)-SUMIFS(G$33:G$42,$O$33:$O$42,Lister!$D$29,$A$33:$A$42,Takstblad!$A$41)-SUMIFS(G$33:G$42,$O$33:$O$42,Lister!$D$29,$A$33:$A$42,Takstblad!$A$42)+SUMIF($O$33:$O$42,Lister!$D$30,G$33:G$42)-SUMIFS(G$33:G$42,$O$33:$O$42,Lister!$D$30,$A$33:$A$42,Takstblad!$A$34)-SUMIFS(G$33:G$42,$O$33:$O$42,Lister!$D$30,$A$33:$A$42,Takstblad!$A$36)-SUMIFS(G$33:G$42,$O$33:$O$42,Lister!$D$30,$A$33:$A$42,Takstblad!$A$41)-SUMIFS(G$33:G$42,$O$33:$O$42,Lister!$D$30,$A$33:$A$42,Takstblad!$A$42))*0.3),0)</f>
        <v>0</v>
      </c>
      <c r="H45" s="169">
        <f>IF($C$2="FOOD",((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$33:$O$42,Lister!$D$29,H$33:H$42)-SUMIFS(H$33:H$42,$O$33:$O$42,Lister!$D$29,$A$33:$A$42,Takstblad!$A$34)-SUMIFS(H$33:H$42,$O$33:$O$42,Lister!$D$29,$A$33:$A$42,Takstblad!$A$36)-SUMIFS(H$33:H$42,$O$33:$O$42,Lister!$D$29,$A$33:$A$42,Takstblad!$A$41)-SUMIFS(H$33:H$42,$O$33:$O$42,Lister!$D$29,$A$33:$A$42,Takstblad!$A$42)+SUMIF($O$33:$O$42,Lister!$D$30,H$33:H$42)-SUMIFS(H$33:H$42,$O$33:$O$42,Lister!$D$30,$A$33:$A$42,Takstblad!$A$34)-SUMIFS(H$33:H$42,$O$33:$O$42,Lister!$D$30,$A$33:$A$42,Takstblad!$A$36)-SUMIFS(H$33:H$42,$O$33:$O$42,Lister!$D$30,$A$33:$A$42,Takstblad!$A$41)-SUMIFS(H$33:H$42,$O$33:$O$42,Lister!$D$30,$A$33:$A$42,Takstblad!$A$42))*0.3),0)</f>
        <v>0</v>
      </c>
      <c r="I45" s="170">
        <f>IF($C$2="FOOD",((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$33:$O$42,Lister!$D$29,I$33:I$42)-SUMIFS(I$33:I$42,$O$33:$O$42,Lister!$D$29,$A$33:$A$42,Takstblad!$A$34)-SUMIFS(I$33:I$42,$O$33:$O$42,Lister!$D$29,$A$33:$A$42,Takstblad!$A$36)-SUMIFS(I$33:I$42,$O$33:$O$42,Lister!$D$29,$A$33:$A$42,Takstblad!$A$41)-SUMIFS(I$33:I$42,$O$33:$O$42,Lister!$D$29,$A$33:$A$42,Takstblad!$A$42)+SUMIF($O$33:$O$42,Lister!$D$30,I$33:I$42)-SUMIFS(I$33:I$42,$O$33:$O$42,Lister!$D$30,$A$33:$A$42,Takstblad!$A$34)-SUMIFS(I$33:I$42,$O$33:$O$42,Lister!$D$30,$A$33:$A$42,Takstblad!$A$36)-SUMIFS(I$33:I$42,$O$33:$O$42,Lister!$D$30,$A$33:$A$42,Takstblad!$A$41)-SUMIFS(I$33:I$42,$O$33:$O$42,Lister!$D$30,$A$33:$A$42,Takstblad!$A$42))*0.3),0)</f>
        <v>0</v>
      </c>
      <c r="J45" s="170">
        <f>IF($C$2="FOOD",((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$33:$O$42,Lister!$D$29,J$33:J$42)-SUMIFS(J$33:J$42,$O$33:$O$42,Lister!$D$29,$A$33:$A$42,Takstblad!$A$34)-SUMIFS(J$33:J$42,$O$33:$O$42,Lister!$D$29,$A$33:$A$42,Takstblad!$A$36)-SUMIFS(J$33:J$42,$O$33:$O$42,Lister!$D$29,$A$33:$A$42,Takstblad!$A$41)-SUMIFS(J$33:J$42,$O$33:$O$42,Lister!$D$29,$A$33:$A$42,Takstblad!$A$42)+SUMIF($O$33:$O$42,Lister!$D$30,J$33:J$42)-SUMIFS(J$33:J$42,$O$33:$O$42,Lister!$D$30,$A$33:$A$42,Takstblad!$A$34)-SUMIFS(J$33:J$42,$O$33:$O$42,Lister!$D$30,$A$33:$A$42,Takstblad!$A$36)-SUMIFS(J$33:J$42,$O$33:$O$42,Lister!$D$30,$A$33:$A$42,Takstblad!$A$41)-SUMIFS(J$33:J$42,$O$33:$O$42,Lister!$D$30,$A$33:$A$42,Takstblad!$A$42))*0.3),0)</f>
        <v>0</v>
      </c>
      <c r="K45" s="170">
        <f>IF($C$2="FOOD",((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$33:$O$42,Lister!$D$29,K$33:K$42)-SUMIFS(K$33:K$42,$O$33:$O$42,Lister!$D$29,$A$33:$A$42,Takstblad!$A$34)-SUMIFS(K$33:K$42,$O$33:$O$42,Lister!$D$29,$A$33:$A$42,Takstblad!$A$36)-SUMIFS(K$33:K$42,$O$33:$O$42,Lister!$D$29,$A$33:$A$42,Takstblad!$A$41)-SUMIFS(K$33:K$42,$O$33:$O$42,Lister!$D$29,$A$33:$A$42,Takstblad!$A$42)+SUMIF($O$33:$O$42,Lister!$D$30,K$33:K$42)-SUMIFS(K$33:K$42,$O$33:$O$42,Lister!$D$30,$A$33:$A$42,Takstblad!$A$34)-SUMIFS(K$33:K$42,$O$33:$O$42,Lister!$D$30,$A$33:$A$42,Takstblad!$A$36)-SUMIFS(K$33:K$42,$O$33:$O$42,Lister!$D$30,$A$33:$A$42,Takstblad!$A$41)-SUMIFS(K$33:K$42,$O$33:$O$42,Lister!$D$30,$A$33:$A$42,Takstblad!$A$42))*0.3),0)</f>
        <v>0</v>
      </c>
      <c r="L45" s="170">
        <f>IF($C$2="FOOD",((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$33:$O$42,Lister!$D$29,L$33:L$42)-SUMIFS(L$33:L$42,$O$33:$O$42,Lister!$D$29,$A$33:$A$42,Takstblad!$A$34)-SUMIFS(L$33:L$42,$O$33:$O$42,Lister!$D$29,$A$33:$A$42,Takstblad!$A$36)-SUMIFS(L$33:L$42,$O$33:$O$42,Lister!$D$29,$A$33:$A$42,Takstblad!$A$41)-SUMIFS(L$33:L$42,$O$33:$O$42,Lister!$D$29,$A$33:$A$42,Takstblad!$A$42)+SUMIF($O$33:$O$42,Lister!$D$30,L$33:L$42)-SUMIFS(L$33:L$42,$O$33:$O$42,Lister!$D$30,$A$33:$A$42,Takstblad!$A$34)-SUMIFS(L$33:L$42,$O$33:$O$42,Lister!$D$30,$A$33:$A$42,Takstblad!$A$36)-SUMIFS(L$33:L$42,$O$33:$O$42,Lister!$D$30,$A$33:$A$42,Takstblad!$A$41)-SUMIFS(L$33:L$42,$O$33:$O$42,Lister!$D$30,$A$33:$A$42,Takstblad!$A$42))*0.3),0)</f>
        <v>0</v>
      </c>
      <c r="M45" s="65">
        <f t="shared" si="54"/>
        <v>0</v>
      </c>
      <c r="N45" s="171"/>
      <c r="O45" s="168" t="s">
        <v>152</v>
      </c>
      <c r="P45" s="11"/>
      <c r="Q45" s="27"/>
      <c r="R45" s="213">
        <f>+AC45</f>
        <v>0</v>
      </c>
      <c r="S45" s="25">
        <f>+C45*Takstblad!C38</f>
        <v>0</v>
      </c>
      <c r="T45" s="25">
        <f>+D45*Takstblad!D38</f>
        <v>0</v>
      </c>
      <c r="U45" s="25">
        <f>+E45*Takstblad!E38</f>
        <v>0</v>
      </c>
      <c r="V45" s="25">
        <f>+F45*Takstblad!F38</f>
        <v>0</v>
      </c>
      <c r="W45" s="25">
        <f>+G45*Takstblad!G38</f>
        <v>0</v>
      </c>
      <c r="X45" s="25">
        <f>+H45*Takstblad!H38</f>
        <v>0</v>
      </c>
      <c r="Y45" s="25">
        <f>+I45*Takstblad!I38</f>
        <v>0</v>
      </c>
      <c r="Z45" s="25">
        <f>+J45*Takstblad!J38</f>
        <v>0</v>
      </c>
      <c r="AA45" s="25">
        <f>+K45*Takstblad!K38</f>
        <v>0</v>
      </c>
      <c r="AB45" s="25">
        <f>+L45*Takstblad!L38</f>
        <v>0</v>
      </c>
      <c r="AC45" s="25">
        <f t="shared" si="55"/>
        <v>0</v>
      </c>
      <c r="AE45" s="25">
        <f t="shared" si="64"/>
        <v>0</v>
      </c>
      <c r="AF45" s="25">
        <f t="shared" si="65"/>
        <v>0</v>
      </c>
      <c r="AH45" s="25">
        <f t="shared" si="66"/>
        <v>0</v>
      </c>
      <c r="AI45" s="25">
        <f t="shared" si="67"/>
        <v>0</v>
      </c>
      <c r="AK45" s="25">
        <f t="shared" si="68"/>
        <v>0</v>
      </c>
      <c r="AL45" s="25">
        <f t="shared" si="69"/>
        <v>0</v>
      </c>
      <c r="AN45" s="25">
        <f t="shared" si="70"/>
        <v>0</v>
      </c>
      <c r="AO45" s="25">
        <f t="shared" si="71"/>
        <v>0</v>
      </c>
      <c r="AQ45" s="25">
        <f t="shared" si="72"/>
        <v>0</v>
      </c>
      <c r="AR45" s="25">
        <f t="shared" si="73"/>
        <v>0</v>
      </c>
      <c r="AT45" s="25">
        <f t="shared" si="74"/>
        <v>0</v>
      </c>
      <c r="AU45" s="25">
        <f t="shared" si="75"/>
        <v>0</v>
      </c>
      <c r="AW45" s="25">
        <f t="shared" si="76"/>
        <v>0</v>
      </c>
      <c r="AX45" s="25">
        <f t="shared" si="77"/>
        <v>0</v>
      </c>
      <c r="AZ45" s="25">
        <f t="shared" si="78"/>
        <v>0</v>
      </c>
      <c r="BA45" s="25">
        <f t="shared" si="79"/>
        <v>0</v>
      </c>
      <c r="BC45" s="25">
        <f t="shared" si="80"/>
        <v>0</v>
      </c>
      <c r="BD45" s="25">
        <f t="shared" si="81"/>
        <v>0</v>
      </c>
      <c r="BF45" s="25">
        <f t="shared" si="60"/>
        <v>0</v>
      </c>
      <c r="BG45" s="25">
        <f t="shared" si="61"/>
        <v>0</v>
      </c>
      <c r="BI45" s="25">
        <f t="shared" si="62"/>
        <v>0</v>
      </c>
      <c r="BJ45" s="25">
        <f t="shared" si="63"/>
        <v>0</v>
      </c>
    </row>
    <row r="46" spans="1:66" ht="15.6" customHeight="1" thickBot="1" x14ac:dyDescent="0.25">
      <c r="A46" s="4" t="s">
        <v>71</v>
      </c>
      <c r="B46" s="4"/>
      <c r="C46" s="12">
        <f t="shared" ref="C46:J46" si="82">SUM(C33:C45)</f>
        <v>0</v>
      </c>
      <c r="D46" s="12">
        <f t="shared" si="82"/>
        <v>0</v>
      </c>
      <c r="E46" s="12">
        <f t="shared" si="82"/>
        <v>0</v>
      </c>
      <c r="F46" s="12">
        <f t="shared" si="82"/>
        <v>0</v>
      </c>
      <c r="G46" s="12">
        <f t="shared" si="82"/>
        <v>0</v>
      </c>
      <c r="H46" s="12">
        <f t="shared" si="82"/>
        <v>0</v>
      </c>
      <c r="I46" s="12">
        <f t="shared" si="82"/>
        <v>0</v>
      </c>
      <c r="J46" s="12">
        <f t="shared" si="82"/>
        <v>0</v>
      </c>
      <c r="K46" s="12">
        <f t="shared" ref="K46" si="83">SUM(K33:K45)</f>
        <v>0</v>
      </c>
      <c r="L46" s="12">
        <f>SUM(L33:L45)</f>
        <v>0</v>
      </c>
      <c r="M46" s="12">
        <f t="shared" si="54"/>
        <v>0</v>
      </c>
      <c r="N46" s="12"/>
      <c r="O46" s="48"/>
      <c r="P46" s="48"/>
      <c r="Q46" s="23" t="s">
        <v>75</v>
      </c>
      <c r="R46" s="46">
        <f t="shared" si="39"/>
        <v>0</v>
      </c>
      <c r="S46" s="22">
        <f t="shared" ref="S46:Z46" si="84">SUM(S33:S45)</f>
        <v>0</v>
      </c>
      <c r="T46" s="22">
        <f t="shared" si="84"/>
        <v>0</v>
      </c>
      <c r="U46" s="22">
        <f t="shared" si="84"/>
        <v>0</v>
      </c>
      <c r="V46" s="22">
        <f t="shared" si="84"/>
        <v>0</v>
      </c>
      <c r="W46" s="22">
        <f t="shared" si="84"/>
        <v>0</v>
      </c>
      <c r="X46" s="22">
        <f t="shared" si="84"/>
        <v>0</v>
      </c>
      <c r="Y46" s="51">
        <f t="shared" si="84"/>
        <v>0</v>
      </c>
      <c r="Z46" s="51">
        <f t="shared" si="84"/>
        <v>0</v>
      </c>
      <c r="AA46" s="51">
        <f t="shared" ref="AA46:AB46" si="85">SUM(AA33:AA45)</f>
        <v>0</v>
      </c>
      <c r="AB46" s="51">
        <f t="shared" si="85"/>
        <v>0</v>
      </c>
      <c r="AC46" s="46">
        <f t="shared" si="55"/>
        <v>0</v>
      </c>
      <c r="AE46" s="22">
        <f>SUM(AE33:AE45)</f>
        <v>0</v>
      </c>
      <c r="AF46" s="13">
        <f>IFERROR(AC46/AE46,0)</f>
        <v>0</v>
      </c>
      <c r="AH46" s="22">
        <f>SUM(AH33:AH45)</f>
        <v>0</v>
      </c>
      <c r="AI46" s="13">
        <f t="shared" si="43"/>
        <v>0</v>
      </c>
      <c r="AK46" s="22">
        <f>SUM(AK33:AK45)</f>
        <v>0</v>
      </c>
      <c r="AL46" s="13">
        <f t="shared" si="45"/>
        <v>0</v>
      </c>
      <c r="AN46" s="22">
        <f>SUM(AN33:AN45)</f>
        <v>0</v>
      </c>
      <c r="AO46" s="13">
        <f t="shared" si="47"/>
        <v>0</v>
      </c>
      <c r="AQ46" s="22">
        <f>SUM(AQ33:AQ45)</f>
        <v>0</v>
      </c>
      <c r="AR46" s="13">
        <f t="shared" si="49"/>
        <v>0</v>
      </c>
      <c r="AT46" s="22">
        <f>SUM(AT33:AT45)</f>
        <v>0</v>
      </c>
      <c r="AU46" s="13">
        <f t="shared" si="51"/>
        <v>0</v>
      </c>
      <c r="AW46" s="22">
        <f>SUM(AW33:AW45)</f>
        <v>0</v>
      </c>
      <c r="AX46" s="13">
        <f t="shared" si="53"/>
        <v>0</v>
      </c>
      <c r="AZ46" s="22">
        <f>SUM(AZ33:AZ45)</f>
        <v>0</v>
      </c>
      <c r="BA46" s="13">
        <f t="shared" si="57"/>
        <v>0</v>
      </c>
      <c r="BC46" s="22">
        <f>SUM(BC33:BC45)</f>
        <v>0</v>
      </c>
      <c r="BD46" s="13">
        <f t="shared" si="59"/>
        <v>0</v>
      </c>
      <c r="BF46" s="22">
        <f>SUM(BF33:BF45)</f>
        <v>0</v>
      </c>
      <c r="BG46" s="13">
        <f t="shared" ref="BG46" si="86">IFERROR(AC46/BF46,0)</f>
        <v>0</v>
      </c>
      <c r="BI46" s="22">
        <f>SUM(BI33:BI45)</f>
        <v>0</v>
      </c>
      <c r="BJ46" s="13">
        <f t="shared" ref="BJ46" si="87">IFERROR(AF46/BI46,0)</f>
        <v>0</v>
      </c>
      <c r="BK46" s="70"/>
      <c r="BL46" s="70"/>
      <c r="BM46" s="70"/>
    </row>
    <row r="47" spans="1:66" ht="15.6" customHeight="1" x14ac:dyDescent="0.2">
      <c r="A47" s="9"/>
      <c r="B47" s="48"/>
      <c r="C47" s="48"/>
      <c r="D47" s="48"/>
      <c r="E47" s="48"/>
      <c r="F47" s="48"/>
      <c r="G47" s="48"/>
      <c r="H47" s="48"/>
      <c r="I47" s="48"/>
      <c r="J47" s="48"/>
      <c r="K47" s="48"/>
      <c r="L47" s="48"/>
      <c r="M47" s="48"/>
      <c r="N47" s="48"/>
      <c r="O47" s="48"/>
      <c r="P47" s="48"/>
      <c r="Q47" s="23"/>
      <c r="R47" s="5"/>
      <c r="S47" s="4"/>
      <c r="T47" s="4"/>
      <c r="U47" s="4"/>
      <c r="V47" s="4"/>
      <c r="W47" s="4"/>
      <c r="X47" s="4"/>
      <c r="Y47" s="4"/>
      <c r="Z47" s="4"/>
      <c r="AA47" s="4"/>
      <c r="AB47" s="4"/>
      <c r="AC47" s="5"/>
      <c r="AD47" s="70"/>
      <c r="AE47" s="76"/>
      <c r="AF47" s="76"/>
      <c r="AG47" s="70"/>
      <c r="AH47" s="77"/>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row>
    <row r="48" spans="1:66" ht="15.6" hidden="1" customHeight="1" x14ac:dyDescent="0.2">
      <c r="A48" s="9" t="s">
        <v>185</v>
      </c>
      <c r="B48" s="48"/>
      <c r="C48" s="109">
        <f>+SUMIF($O$20:$O$29,Lister!$D$30,C20:C29)-SUMIFS(C20:C29,$O$20:$O$29,Lister!$D$30,$B$20:$B$29,Lister!$B$20)-+SUMIFS(C33:C42,$O$33:$O$42,Lister!$D$30,$B$33:$B$42,Lister!$A$24)+SUMIF($O$20:$O$29,Lister!$D$29,C20:C29)-SUMIFS(C20:C29,$O$20:$O$29,Lister!$D$29,$B$20:$B$29,Lister!$B$20)+SUMIFS(C33:C42,$O$33:$O$42,Lister!$D$29,$B$33:$B$42,Lister!$A$24)</f>
        <v>0</v>
      </c>
      <c r="D48" s="109">
        <f>+SUMIF($O$20:$O$29,Lister!$D$30,D20:D29)-SUMIFS(D20:D29,$O$20:$O$29,Lister!$D$30,$B$20:$B$29,Lister!$B$20)-+SUMIFS(D33:D42,$O$33:$O$42,Lister!$D$30,$B$33:$B$42,Lister!$A$24)+SUMIF($O$20:$O$29,Lister!$D$29,D20:D29)-SUMIFS(D20:D29,$O$20:$O$29,Lister!$D$29,$B$20:$B$29,Lister!$B$20)+SUMIFS(D33:D42,$O$33:$O$42,Lister!$D$29,$B$33:$B$42,Lister!$A$24)</f>
        <v>6</v>
      </c>
      <c r="E48" s="109">
        <f>+SUMIF($O$20:$O$29,Lister!$D$30,E20:E29)-SUMIFS(E20:E29,$O$20:$O$29,Lister!$D$30,$B$20:$B$29,Lister!$B$20)-+SUMIFS(E33:E42,$O$33:$O$42,Lister!$D$30,$B$33:$B$42,Lister!$A$24)+SUMIF($O$20:$O$29,Lister!$D$29,E20:E29)-SUMIFS(E20:E29,$O$20:$O$29,Lister!$D$29,$B$20:$B$29,Lister!$B$20)+SUMIFS(E33:E42,$O$33:$O$42,Lister!$D$29,$B$33:$B$42,Lister!$A$24)</f>
        <v>6</v>
      </c>
      <c r="F48" s="109">
        <f>+SUMIF($O$20:$O$29,Lister!$D$30,F20:F29)-SUMIFS(F20:F29,$O$20:$O$29,Lister!$D$30,$B$20:$B$29,Lister!$B$20)-+SUMIFS(F33:F42,$O$33:$O$42,Lister!$D$30,$B$33:$B$42,Lister!$A$24)+SUMIF($O$20:$O$29,Lister!$D$29,F20:F29)-SUMIFS(F20:F29,$O$20:$O$29,Lister!$D$29,$B$20:$B$29,Lister!$B$20)+SUMIFS(F33:F42,$O$33:$O$42,Lister!$D$29,$B$33:$B$42,Lister!$A$24)</f>
        <v>6</v>
      </c>
      <c r="G48" s="109">
        <f>+SUMIF($O$20:$O$29,Lister!$D$30,G20:G29)-SUMIFS(G20:G29,$O$20:$O$29,Lister!$D$30,$B$20:$B$29,Lister!$B$20)-+SUMIFS(G33:G42,$O$33:$O$42,Lister!$D$30,$B$33:$B$42,Lister!$A$24)+SUMIF($O$20:$O$29,Lister!$D$29,G20:G29)-SUMIFS(G20:G29,$O$20:$O$29,Lister!$D$29,$B$20:$B$29,Lister!$B$20)+SUMIFS(G33:G42,$O$33:$O$42,Lister!$D$29,$B$33:$B$42,Lister!$A$24)</f>
        <v>6</v>
      </c>
      <c r="H48" s="109">
        <f>+SUMIF($O$20:$O$29,Lister!$D$30,H20:H29)-SUMIFS(H20:H29,$O$20:$O$29,Lister!$D$30,$B$20:$B$29,Lister!$B$20)-+SUMIFS(H33:H42,$O$33:$O$42,Lister!$D$30,$B$33:$B$42,Lister!$A$24)+SUMIF($O$20:$O$29,Lister!$D$29,H20:H29)-SUMIFS(H20:H29,$O$20:$O$29,Lister!$D$29,$B$20:$B$29,Lister!$B$20)+SUMIFS(H33:H42,$O$33:$O$42,Lister!$D$29,$B$33:$B$42,Lister!$A$24)</f>
        <v>0</v>
      </c>
      <c r="I48" s="109">
        <f>+SUMIF($O$20:$O$29,Lister!$D$30,I20:I29)-SUMIFS(I20:I29,$O$20:$O$29,Lister!$D$30,$B$20:$B$29,Lister!$B$20)-+SUMIFS(I33:I42,$O$33:$O$42,Lister!$D$30,$B$33:$B$42,Lister!$A$24)+SUMIF($O$20:$O$29,Lister!$D$29,I20:I29)-SUMIFS(I20:I29,$O$20:$O$29,Lister!$D$29,$B$20:$B$29,Lister!$B$20)+SUMIFS(I33:I42,$O$33:$O$42,Lister!$D$29,$B$33:$B$42,Lister!$A$24)</f>
        <v>0</v>
      </c>
      <c r="J48" s="109">
        <f>+SUMIF($O$20:$O$29,Lister!$D$30,J20:J29)-SUMIFS(J20:J29,$O$20:$O$29,Lister!$D$30,$B$20:$B$29,Lister!$B$20)-+SUMIFS(J33:J42,$O$33:$O$42,Lister!$D$30,$B$33:$B$42,Lister!$A$24)+SUMIF($O$20:$O$29,Lister!$D$29,J20:J29)-SUMIFS(J20:J29,$O$20:$O$29,Lister!$D$29,$B$20:$B$29,Lister!$B$20)+SUMIFS(J33:J42,$O$33:$O$42,Lister!$D$29,$B$33:$B$42,Lister!$A$24)</f>
        <v>0</v>
      </c>
      <c r="K48" s="109">
        <f>+SUMIF($O$20:$O$29,Lister!$D$30,K20:K29)-SUMIFS(K20:K29,$O$20:$O$29,Lister!$D$30,$B$20:$B$29,Lister!$B$20)-+SUMIFS(K33:K42,$O$33:$O$42,Lister!$D$30,$B$33:$B$42,Lister!$A$24)+SUMIF($O$20:$O$29,Lister!$D$29,K20:K29)-SUMIFS(K20:K29,$O$20:$O$29,Lister!$D$29,$B$20:$B$29,Lister!$B$20)+SUMIFS(K33:K42,$O$33:$O$42,Lister!$D$29,$B$33:$B$42,Lister!$A$24)</f>
        <v>0</v>
      </c>
      <c r="L48" s="109">
        <f>+SUMIF($O$20:$O$29,Lister!$D$30,L20:L29)-SUMIFS(L20:L29,$O$20:$O$29,Lister!$D$30,$B$20:$B$29,Lister!$B$20)-+SUMIFS(L33:L42,$O$33:$O$42,Lister!$D$30,$B$33:$B$42,Lister!$A$24)+SUMIF($O$20:$O$29,Lister!$D$29,L20:L29)-SUMIFS(L20:L29,$O$20:$O$29,Lister!$D$29,$B$20:$B$29,Lister!$B$20)+SUMIFS(L33:L42,$O$33:$O$42,Lister!$D$29,$B$33:$B$42,Lister!$A$24)</f>
        <v>0</v>
      </c>
      <c r="M48" s="48"/>
      <c r="N48" s="48"/>
      <c r="O48" s="48"/>
      <c r="P48" s="48"/>
      <c r="Q48" s="23"/>
      <c r="R48" s="5"/>
      <c r="S48" s="4"/>
      <c r="T48" s="4"/>
      <c r="U48" s="4"/>
      <c r="V48" s="4"/>
      <c r="W48" s="4"/>
      <c r="X48" s="4"/>
      <c r="Y48" s="4"/>
      <c r="Z48" s="4"/>
      <c r="AA48" s="4"/>
      <c r="AB48" s="4"/>
      <c r="AC48" s="5"/>
      <c r="AD48" s="70"/>
      <c r="AE48" s="76"/>
      <c r="AF48" s="76"/>
      <c r="AG48" s="70"/>
      <c r="AH48" s="77"/>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row>
    <row r="49" spans="1:65" ht="15.6" hidden="1" customHeight="1" x14ac:dyDescent="0.2">
      <c r="A49" s="9" t="s">
        <v>186</v>
      </c>
      <c r="B49" s="48"/>
      <c r="C49" s="109">
        <f>+SUMIF($O$20:$O$29,Lister!$D$31,C20:C29)-SUMIFS(C20:C29,$O$20:$O$29,Lister!$D$31,$B$20:$B$29,Lister!$B$20)+SUMIFS(C33:C42,$O$33:$O$42,Lister!$D$31,$B$33:$B$42,Lister!$A$24)</f>
        <v>0</v>
      </c>
      <c r="D49" s="109">
        <f>+SUMIF($O$20:$O$29,Lister!$D$31,D20:D29)-SUMIFS(D20:D29,$O$20:$O$29,Lister!$D$31,$B$20:$B$29,Lister!$B$20)+SUMIFS(D33:D42,$O$33:$O$42,Lister!$D$31,$B$33:$B$42,Lister!$A$24)</f>
        <v>0</v>
      </c>
      <c r="E49" s="109">
        <f>+SUMIF($O$20:$O$29,Lister!$D$31,E20:E29)-SUMIFS(E20:E29,$O$20:$O$29,Lister!$D$31,$B$20:$B$29,Lister!$B$20)+SUMIFS(E33:E42,$O$33:$O$42,Lister!$D$31,$B$33:$B$42,Lister!$A$24)</f>
        <v>0</v>
      </c>
      <c r="F49" s="109">
        <f>+SUMIF($O$20:$O$29,Lister!$D$31,F20:F29)-SUMIFS(F20:F29,$O$20:$O$29,Lister!$D$31,$B$20:$B$29,Lister!$B$20)+SUMIFS(F33:F42,$O$33:$O$42,Lister!$D$31,$B$33:$B$42,Lister!$A$24)</f>
        <v>0</v>
      </c>
      <c r="G49" s="109">
        <f>+SUMIF($O$20:$O$29,Lister!$D$31,G20:G29)-SUMIFS(G20:G29,$O$20:$O$29,Lister!$D$31,$B$20:$B$29,Lister!$B$20)+SUMIFS(G33:G42,$O$33:$O$42,Lister!$D$31,$B$33:$B$42,Lister!$A$24)</f>
        <v>0</v>
      </c>
      <c r="H49" s="109">
        <f>+SUMIF($O$20:$O$29,Lister!$D$31,H20:H29)-SUMIFS(H20:H29,$O$20:$O$29,Lister!$D$31,$B$20:$B$29,Lister!$B$20)+SUMIFS(H33:H42,$O$33:$O$42,Lister!$D$31,$B$33:$B$42,Lister!$A$24)</f>
        <v>0</v>
      </c>
      <c r="I49" s="109">
        <f>+SUMIF($O$20:$O$29,Lister!$D$31,I20:I29)-SUMIFS(I20:I29,$O$20:$O$29,Lister!$D$31,$B$20:$B$29,Lister!$B$20)+SUMIFS(I33:I42,$O$33:$O$42,Lister!$D$31,$B$33:$B$42,Lister!$A$24)</f>
        <v>0</v>
      </c>
      <c r="J49" s="109">
        <f>+SUMIF($O$20:$O$29,Lister!$D$31,J20:J29)-SUMIFS(J20:J29,$O$20:$O$29,Lister!$D$31,$B$20:$B$29,Lister!$B$20)+SUMIFS(J33:J42,$O$33:$O$42,Lister!$D$31,$B$33:$B$42,Lister!$A$24)</f>
        <v>0</v>
      </c>
      <c r="K49" s="109">
        <f>+SUMIF($O$20:$O$29,Lister!$D$31,K20:K29)-SUMIFS(K20:K29,$O$20:$O$29,Lister!$D$31,$B$20:$B$29,Lister!$B$20)+SUMIFS(K33:K42,$O$33:$O$42,Lister!$D$31,$B$33:$B$42,Lister!$A$24)</f>
        <v>0</v>
      </c>
      <c r="L49" s="109">
        <f>+SUMIF($O$20:$O$29,Lister!$D$31,L20:L29)-SUMIFS(L20:L29,$O$20:$O$29,Lister!$D$31,$B$20:$B$29,Lister!$B$20)+SUMIFS(L33:L42,$O$33:$O$42,Lister!$D$31,$B$33:$B$42,Lister!$A$24)</f>
        <v>0</v>
      </c>
      <c r="M49" s="48"/>
      <c r="N49" s="48"/>
      <c r="O49" s="48"/>
      <c r="P49" s="48"/>
      <c r="Q49" s="23"/>
      <c r="R49" s="5"/>
      <c r="S49" s="4"/>
      <c r="T49" s="4"/>
      <c r="U49" s="4"/>
      <c r="V49" s="4"/>
      <c r="W49" s="4"/>
      <c r="X49" s="4"/>
      <c r="Y49" s="4"/>
      <c r="Z49" s="4"/>
      <c r="AA49" s="4"/>
      <c r="AB49" s="4"/>
      <c r="AC49" s="5"/>
      <c r="AD49" s="70"/>
      <c r="AE49" s="76"/>
      <c r="AF49" s="76"/>
      <c r="AG49" s="70"/>
      <c r="AH49" s="77"/>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row>
    <row r="50" spans="1:65" ht="15.6" customHeight="1" x14ac:dyDescent="0.2">
      <c r="A50" s="9"/>
      <c r="B50" s="48"/>
      <c r="C50" s="48"/>
      <c r="D50" s="48"/>
      <c r="E50" s="48"/>
      <c r="F50" s="48"/>
      <c r="G50" s="48"/>
      <c r="H50" s="48"/>
      <c r="I50" s="48"/>
      <c r="J50" s="48"/>
      <c r="K50" s="48"/>
      <c r="L50" s="48"/>
      <c r="M50" s="48"/>
      <c r="N50" s="48"/>
      <c r="O50" s="48"/>
      <c r="P50" s="48"/>
      <c r="Q50" s="70"/>
      <c r="R50" s="70"/>
      <c r="S50" s="77"/>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65" ht="15.6" customHeight="1" thickBot="1" x14ac:dyDescent="0.25">
      <c r="A51" s="4" t="s">
        <v>91</v>
      </c>
      <c r="B51" s="8"/>
      <c r="C51" s="8">
        <f t="shared" ref="C51:L51" si="88">+C19</f>
        <v>2025</v>
      </c>
      <c r="D51" s="8">
        <f t="shared" si="88"/>
        <v>2026</v>
      </c>
      <c r="E51" s="8">
        <f t="shared" si="88"/>
        <v>2027</v>
      </c>
      <c r="F51" s="8">
        <f t="shared" si="88"/>
        <v>2028</v>
      </c>
      <c r="G51" s="8">
        <f t="shared" si="88"/>
        <v>2029</v>
      </c>
      <c r="H51" s="8">
        <f t="shared" si="88"/>
        <v>2030</v>
      </c>
      <c r="I51" s="8">
        <f t="shared" si="88"/>
        <v>2031</v>
      </c>
      <c r="J51" s="8">
        <f t="shared" si="88"/>
        <v>2032</v>
      </c>
      <c r="K51" s="8">
        <f t="shared" si="88"/>
        <v>2033</v>
      </c>
      <c r="L51" s="8">
        <f t="shared" si="88"/>
        <v>2034</v>
      </c>
      <c r="M51" s="8" t="s">
        <v>34</v>
      </c>
      <c r="N51" s="8"/>
      <c r="O51" s="8"/>
      <c r="P51" s="8"/>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65" s="9" customFormat="1" ht="15.6" customHeight="1" x14ac:dyDescent="0.25">
      <c r="A52" s="230" t="s">
        <v>123</v>
      </c>
      <c r="B52" s="231"/>
      <c r="C52" s="302"/>
      <c r="D52" s="302">
        <v>45000</v>
      </c>
      <c r="E52" s="302">
        <v>45000</v>
      </c>
      <c r="F52" s="302">
        <v>45000</v>
      </c>
      <c r="G52" s="302">
        <v>45000</v>
      </c>
      <c r="H52" s="302"/>
      <c r="I52" s="302"/>
      <c r="J52" s="302"/>
      <c r="K52" s="302"/>
      <c r="L52" s="302"/>
      <c r="M52" s="21">
        <f>SUM(C52:L52)</f>
        <v>180000</v>
      </c>
      <c r="N52" s="299" t="s">
        <v>1385</v>
      </c>
      <c r="O52" s="299" t="s">
        <v>113</v>
      </c>
      <c r="P52" s="7"/>
      <c r="Q52" s="129" t="s">
        <v>101</v>
      </c>
      <c r="R52" s="132"/>
      <c r="S52" s="130"/>
      <c r="T52" s="130"/>
      <c r="U52" s="130"/>
      <c r="V52" s="130"/>
      <c r="W52" s="130"/>
      <c r="X52" s="172"/>
      <c r="Y52" s="130"/>
      <c r="Z52" s="131"/>
      <c r="AA52" s="131"/>
      <c r="AB52" s="131"/>
      <c r="AC52" s="132"/>
      <c r="AF52" s="70"/>
      <c r="AG52" s="70"/>
      <c r="AH52" s="70"/>
      <c r="AI52" s="70"/>
      <c r="AJ52" s="70"/>
      <c r="AK52" s="70"/>
      <c r="AL52" s="70"/>
      <c r="AM52" s="70"/>
      <c r="AN52" s="70"/>
      <c r="AO52" s="70"/>
      <c r="AP52" s="70"/>
      <c r="AQ52" s="70"/>
      <c r="AR52" s="71"/>
      <c r="AS52" s="71"/>
      <c r="AT52" s="71"/>
      <c r="AU52" s="71"/>
      <c r="AV52" s="71"/>
      <c r="AW52" s="71"/>
      <c r="AX52" s="71"/>
      <c r="AY52" s="71"/>
      <c r="AZ52" s="71"/>
    </row>
    <row r="53" spans="1:65" ht="15.6" customHeight="1" x14ac:dyDescent="0.2">
      <c r="A53" s="210" t="s">
        <v>46</v>
      </c>
      <c r="B53" s="16"/>
      <c r="C53" s="302"/>
      <c r="D53" s="302">
        <v>75000</v>
      </c>
      <c r="E53" s="302">
        <v>75000</v>
      </c>
      <c r="F53" s="302">
        <v>75000</v>
      </c>
      <c r="G53" s="302">
        <v>75000</v>
      </c>
      <c r="H53" s="302"/>
      <c r="I53" s="302"/>
      <c r="J53" s="302"/>
      <c r="K53" s="302"/>
      <c r="L53" s="302"/>
      <c r="M53" s="21">
        <f t="shared" ref="M53:M65" si="89">SUM(C53:L53)</f>
        <v>300000</v>
      </c>
      <c r="N53" s="299" t="s">
        <v>1386</v>
      </c>
      <c r="O53" s="299" t="s">
        <v>113</v>
      </c>
      <c r="Q53" s="116" t="s">
        <v>22</v>
      </c>
      <c r="R53" s="148" t="s">
        <v>34</v>
      </c>
      <c r="S53" s="45">
        <f>+S19</f>
        <v>2025</v>
      </c>
      <c r="T53" s="45">
        <f>+S53+1</f>
        <v>2026</v>
      </c>
      <c r="U53" s="8">
        <f t="shared" ref="U53:Z53" si="90">+T53+1</f>
        <v>2027</v>
      </c>
      <c r="V53" s="8">
        <f t="shared" si="90"/>
        <v>2028</v>
      </c>
      <c r="W53" s="8">
        <f t="shared" si="90"/>
        <v>2029</v>
      </c>
      <c r="X53" s="133">
        <f t="shared" si="90"/>
        <v>2030</v>
      </c>
      <c r="Y53" s="8">
        <f t="shared" si="90"/>
        <v>2031</v>
      </c>
      <c r="Z53" s="8">
        <f t="shared" si="90"/>
        <v>2032</v>
      </c>
      <c r="AA53" s="8">
        <f t="shared" ref="AA53" si="91">+Z53+1</f>
        <v>2033</v>
      </c>
      <c r="AB53" s="8">
        <f t="shared" ref="AB53" si="92">+AA53+1</f>
        <v>2034</v>
      </c>
      <c r="AC53" s="148" t="s">
        <v>34</v>
      </c>
      <c r="AF53" s="71"/>
      <c r="AG53" s="71"/>
      <c r="AH53" s="71"/>
      <c r="AI53" s="71"/>
      <c r="AJ53" s="71"/>
      <c r="AK53" s="71"/>
      <c r="AL53" s="71"/>
      <c r="AM53" s="71"/>
      <c r="AN53" s="71"/>
      <c r="AO53" s="71"/>
      <c r="AP53" s="71"/>
      <c r="AQ53" s="71"/>
      <c r="AR53" s="70"/>
      <c r="AS53" s="70"/>
      <c r="AT53" s="70"/>
      <c r="AU53" s="70"/>
      <c r="AV53" s="70"/>
      <c r="AW53" s="70"/>
      <c r="AX53" s="70"/>
      <c r="AY53" s="70"/>
      <c r="AZ53" s="70"/>
    </row>
    <row r="54" spans="1:65" ht="15.6" customHeight="1" x14ac:dyDescent="0.2">
      <c r="A54" s="230" t="s">
        <v>47</v>
      </c>
      <c r="B54" s="231"/>
      <c r="C54" s="302"/>
      <c r="D54" s="302">
        <v>25000</v>
      </c>
      <c r="E54" s="302">
        <v>25000</v>
      </c>
      <c r="F54" s="302">
        <v>25000</v>
      </c>
      <c r="G54" s="302">
        <v>25000</v>
      </c>
      <c r="H54" s="302"/>
      <c r="I54" s="302"/>
      <c r="J54" s="302"/>
      <c r="K54" s="302"/>
      <c r="L54" s="302"/>
      <c r="M54" s="21">
        <f t="shared" si="89"/>
        <v>100000</v>
      </c>
      <c r="N54" s="299" t="s">
        <v>1387</v>
      </c>
      <c r="O54" s="299" t="s">
        <v>113</v>
      </c>
      <c r="P54" s="128"/>
      <c r="Q54" s="156" t="s">
        <v>74</v>
      </c>
      <c r="R54" s="330">
        <f t="shared" ref="R54:R63" si="93">+AC54</f>
        <v>3303900</v>
      </c>
      <c r="S54" s="331">
        <f t="shared" ref="S54:Z54" si="94">+S30</f>
        <v>0</v>
      </c>
      <c r="T54" s="331">
        <f t="shared" si="94"/>
        <v>931200</v>
      </c>
      <c r="U54" s="331">
        <f t="shared" si="94"/>
        <v>959700</v>
      </c>
      <c r="V54" s="331">
        <f t="shared" si="94"/>
        <v>990000</v>
      </c>
      <c r="W54" s="331">
        <f t="shared" si="94"/>
        <v>423000</v>
      </c>
      <c r="X54" s="332">
        <f t="shared" si="94"/>
        <v>0</v>
      </c>
      <c r="Y54" s="309">
        <f t="shared" si="94"/>
        <v>0</v>
      </c>
      <c r="Z54" s="28">
        <f t="shared" si="94"/>
        <v>0</v>
      </c>
      <c r="AA54" s="28">
        <f t="shared" ref="AA54:AB54" si="95">+AA30</f>
        <v>0</v>
      </c>
      <c r="AB54" s="28">
        <f t="shared" si="95"/>
        <v>0</v>
      </c>
      <c r="AC54" s="149">
        <f>SUM(S54:AB54)</f>
        <v>3303900</v>
      </c>
      <c r="AF54" s="70"/>
      <c r="AG54" s="70"/>
      <c r="AH54" s="70"/>
      <c r="AI54" s="70"/>
      <c r="AJ54" s="70"/>
      <c r="AK54" s="70"/>
      <c r="AL54" s="70"/>
      <c r="AM54" s="70"/>
      <c r="AN54" s="70"/>
      <c r="AO54" s="70"/>
      <c r="AP54" s="70"/>
      <c r="AQ54" s="70"/>
      <c r="AR54" s="70"/>
      <c r="AS54" s="70"/>
      <c r="AT54" s="70"/>
      <c r="AU54" s="70"/>
      <c r="AV54" s="70"/>
      <c r="AW54" s="70"/>
      <c r="AX54" s="70"/>
      <c r="AY54" s="70"/>
      <c r="AZ54" s="70"/>
    </row>
    <row r="55" spans="1:65" ht="15.6" customHeight="1" x14ac:dyDescent="0.2">
      <c r="A55" s="210" t="s">
        <v>51</v>
      </c>
      <c r="B55" s="16"/>
      <c r="C55" s="302"/>
      <c r="D55" s="302"/>
      <c r="E55" s="302">
        <v>20000</v>
      </c>
      <c r="F55" s="302"/>
      <c r="G55" s="302">
        <v>17500</v>
      </c>
      <c r="H55" s="302"/>
      <c r="I55" s="302"/>
      <c r="J55" s="302"/>
      <c r="K55" s="302"/>
      <c r="L55" s="302"/>
      <c r="M55" s="21">
        <f t="shared" si="89"/>
        <v>37500</v>
      </c>
      <c r="N55" s="299" t="s">
        <v>1388</v>
      </c>
      <c r="O55" s="299" t="s">
        <v>113</v>
      </c>
      <c r="P55" s="128"/>
      <c r="Q55" s="157" t="s">
        <v>75</v>
      </c>
      <c r="R55" s="324">
        <f>+AC55</f>
        <v>0</v>
      </c>
      <c r="S55" s="325">
        <f t="shared" ref="S55:Z55" si="96">+S46</f>
        <v>0</v>
      </c>
      <c r="T55" s="325">
        <f t="shared" si="96"/>
        <v>0</v>
      </c>
      <c r="U55" s="325">
        <f t="shared" si="96"/>
        <v>0</v>
      </c>
      <c r="V55" s="325">
        <f t="shared" si="96"/>
        <v>0</v>
      </c>
      <c r="W55" s="325">
        <f t="shared" si="96"/>
        <v>0</v>
      </c>
      <c r="X55" s="326">
        <f t="shared" si="96"/>
        <v>0</v>
      </c>
      <c r="Y55" s="310">
        <f t="shared" si="96"/>
        <v>0</v>
      </c>
      <c r="Z55" s="122">
        <f t="shared" si="96"/>
        <v>0</v>
      </c>
      <c r="AA55" s="122">
        <f t="shared" ref="AA55:AB55" si="97">+AA46</f>
        <v>0</v>
      </c>
      <c r="AB55" s="122">
        <f t="shared" si="97"/>
        <v>0</v>
      </c>
      <c r="AC55" s="150">
        <f t="shared" ref="AC55:AC63" si="98">SUM(S55:AB55)</f>
        <v>0</v>
      </c>
      <c r="AF55" s="70"/>
      <c r="AG55" s="70"/>
      <c r="AH55" s="70"/>
      <c r="AI55" s="70"/>
      <c r="AJ55" s="70"/>
      <c r="AK55" s="70"/>
      <c r="AL55" s="70"/>
      <c r="AM55" s="70"/>
      <c r="AN55" s="70"/>
      <c r="AO55" s="70"/>
      <c r="AP55" s="70"/>
      <c r="AQ55" s="70"/>
      <c r="AR55" s="70"/>
      <c r="AS55" s="70"/>
      <c r="AT55" s="70"/>
      <c r="AU55" s="70"/>
      <c r="AV55" s="70"/>
      <c r="AW55" s="70"/>
      <c r="AX55" s="70"/>
      <c r="AY55" s="70"/>
      <c r="AZ55" s="70"/>
    </row>
    <row r="56" spans="1:65" ht="15.6" customHeight="1" x14ac:dyDescent="0.2">
      <c r="A56" s="230" t="s">
        <v>46</v>
      </c>
      <c r="B56" s="231"/>
      <c r="C56" s="302"/>
      <c r="D56" s="302"/>
      <c r="E56" s="302"/>
      <c r="F56" s="302"/>
      <c r="G56" s="302"/>
      <c r="H56" s="302"/>
      <c r="I56" s="302"/>
      <c r="J56" s="302"/>
      <c r="K56" s="302"/>
      <c r="L56" s="302"/>
      <c r="M56" s="21">
        <f t="shared" si="89"/>
        <v>0</v>
      </c>
      <c r="N56" s="299"/>
      <c r="O56" s="299" t="s">
        <v>113</v>
      </c>
      <c r="P56" s="128"/>
      <c r="Q56" s="158" t="s">
        <v>76</v>
      </c>
      <c r="R56" s="327">
        <f t="shared" si="93"/>
        <v>3303900</v>
      </c>
      <c r="S56" s="328">
        <f>+SUM(S54:S55)</f>
        <v>0</v>
      </c>
      <c r="T56" s="328">
        <f t="shared" ref="T56:Z56" si="99">+SUM(T54:T55)</f>
        <v>931200</v>
      </c>
      <c r="U56" s="328">
        <f t="shared" si="99"/>
        <v>959700</v>
      </c>
      <c r="V56" s="328">
        <f t="shared" si="99"/>
        <v>990000</v>
      </c>
      <c r="W56" s="328">
        <f t="shared" si="99"/>
        <v>423000</v>
      </c>
      <c r="X56" s="329">
        <f t="shared" si="99"/>
        <v>0</v>
      </c>
      <c r="Y56" s="311">
        <f t="shared" si="99"/>
        <v>0</v>
      </c>
      <c r="Z56" s="146">
        <f t="shared" si="99"/>
        <v>0</v>
      </c>
      <c r="AA56" s="146">
        <f t="shared" ref="AA56:AB56" si="100">+SUM(AA54:AA55)</f>
        <v>0</v>
      </c>
      <c r="AB56" s="146">
        <f t="shared" si="100"/>
        <v>0</v>
      </c>
      <c r="AC56" s="147">
        <f t="shared" si="98"/>
        <v>3303900</v>
      </c>
      <c r="AF56" s="70"/>
      <c r="AG56" s="70"/>
      <c r="AH56" s="70"/>
      <c r="AI56" s="70"/>
      <c r="AJ56" s="70"/>
      <c r="AK56" s="70"/>
      <c r="AL56" s="70"/>
      <c r="AM56" s="70"/>
      <c r="AN56" s="70"/>
      <c r="AO56" s="70"/>
      <c r="AP56" s="70"/>
      <c r="AQ56" s="70"/>
      <c r="AR56" s="70"/>
      <c r="AS56" s="70"/>
      <c r="AT56" s="70"/>
      <c r="AU56" s="70"/>
      <c r="AV56" s="70"/>
      <c r="AW56" s="70"/>
      <c r="AX56" s="70"/>
      <c r="AY56" s="70"/>
      <c r="AZ56" s="70"/>
    </row>
    <row r="57" spans="1:65" ht="15.6" customHeight="1" x14ac:dyDescent="0.2">
      <c r="A57" s="210" t="s">
        <v>114</v>
      </c>
      <c r="B57" s="16"/>
      <c r="C57" s="302"/>
      <c r="D57" s="302"/>
      <c r="E57" s="302"/>
      <c r="F57" s="302"/>
      <c r="G57" s="302"/>
      <c r="H57" s="302"/>
      <c r="I57" s="302"/>
      <c r="J57" s="302"/>
      <c r="K57" s="302"/>
      <c r="L57" s="302"/>
      <c r="M57" s="21">
        <f t="shared" si="89"/>
        <v>0</v>
      </c>
      <c r="N57" s="299"/>
      <c r="O57" s="299" t="s">
        <v>113</v>
      </c>
      <c r="P57" s="128"/>
      <c r="Q57" s="158" t="s">
        <v>77</v>
      </c>
      <c r="R57" s="327">
        <f t="shared" si="93"/>
        <v>617500</v>
      </c>
      <c r="S57" s="328">
        <f>+C65</f>
        <v>0</v>
      </c>
      <c r="T57" s="328">
        <f t="shared" ref="T57:AB57" si="101">+D65</f>
        <v>145000</v>
      </c>
      <c r="U57" s="328">
        <f t="shared" si="101"/>
        <v>165000</v>
      </c>
      <c r="V57" s="328">
        <f t="shared" si="101"/>
        <v>145000</v>
      </c>
      <c r="W57" s="328">
        <f t="shared" si="101"/>
        <v>162500</v>
      </c>
      <c r="X57" s="329">
        <f t="shared" si="101"/>
        <v>0</v>
      </c>
      <c r="Y57" s="311">
        <f t="shared" si="101"/>
        <v>0</v>
      </c>
      <c r="Z57" s="146">
        <f t="shared" si="101"/>
        <v>0</v>
      </c>
      <c r="AA57" s="146">
        <f t="shared" si="101"/>
        <v>0</v>
      </c>
      <c r="AB57" s="146">
        <f t="shared" si="101"/>
        <v>0</v>
      </c>
      <c r="AC57" s="147">
        <f t="shared" si="98"/>
        <v>617500</v>
      </c>
      <c r="AF57" s="70"/>
      <c r="AG57" s="70"/>
      <c r="AH57" s="70"/>
      <c r="AI57" s="70"/>
      <c r="AJ57" s="70"/>
      <c r="AK57" s="70"/>
      <c r="AL57" s="70"/>
      <c r="AM57" s="70"/>
      <c r="AN57" s="70"/>
      <c r="AO57" s="70"/>
      <c r="AP57" s="70"/>
      <c r="AQ57" s="70"/>
      <c r="AR57" s="70"/>
      <c r="AS57" s="70"/>
      <c r="AT57" s="70"/>
      <c r="AU57" s="70"/>
      <c r="AV57" s="70"/>
      <c r="AW57" s="70"/>
      <c r="AX57" s="70"/>
      <c r="AY57" s="70"/>
      <c r="AZ57" s="70"/>
    </row>
    <row r="58" spans="1:65" ht="15.6" customHeight="1" x14ac:dyDescent="0.2">
      <c r="A58" s="230" t="s">
        <v>114</v>
      </c>
      <c r="B58" s="231"/>
      <c r="C58" s="302"/>
      <c r="D58" s="302"/>
      <c r="E58" s="302"/>
      <c r="F58" s="302"/>
      <c r="G58" s="302"/>
      <c r="H58" s="302"/>
      <c r="I58" s="302"/>
      <c r="J58" s="302"/>
      <c r="K58" s="302"/>
      <c r="L58" s="302"/>
      <c r="M58" s="21">
        <f t="shared" si="89"/>
        <v>0</v>
      </c>
      <c r="N58" s="299"/>
      <c r="O58" s="299" t="s">
        <v>113</v>
      </c>
      <c r="P58" s="128"/>
      <c r="Q58" s="158" t="s">
        <v>78</v>
      </c>
      <c r="R58" s="327">
        <f t="shared" si="93"/>
        <v>3921400</v>
      </c>
      <c r="S58" s="328">
        <f>+S57+S56</f>
        <v>0</v>
      </c>
      <c r="T58" s="328">
        <f t="shared" ref="T58:Z58" si="102">+T57+T56</f>
        <v>1076200</v>
      </c>
      <c r="U58" s="328">
        <f t="shared" si="102"/>
        <v>1124700</v>
      </c>
      <c r="V58" s="328">
        <f t="shared" si="102"/>
        <v>1135000</v>
      </c>
      <c r="W58" s="328">
        <f t="shared" si="102"/>
        <v>585500</v>
      </c>
      <c r="X58" s="329">
        <f t="shared" si="102"/>
        <v>0</v>
      </c>
      <c r="Y58" s="311">
        <f t="shared" si="102"/>
        <v>0</v>
      </c>
      <c r="Z58" s="146">
        <f t="shared" si="102"/>
        <v>0</v>
      </c>
      <c r="AA58" s="146">
        <f t="shared" ref="AA58:AB58" si="103">+AA57+AA56</f>
        <v>0</v>
      </c>
      <c r="AB58" s="146">
        <f t="shared" si="103"/>
        <v>0</v>
      </c>
      <c r="AC58" s="147">
        <f t="shared" si="98"/>
        <v>3921400</v>
      </c>
      <c r="AF58" s="70"/>
      <c r="AG58" s="70"/>
      <c r="AH58" s="70"/>
      <c r="AI58" s="70"/>
      <c r="AJ58" s="70"/>
      <c r="AK58" s="70"/>
      <c r="AL58" s="70"/>
      <c r="AM58" s="70"/>
      <c r="AN58" s="70"/>
      <c r="AO58" s="70"/>
      <c r="AP58" s="70"/>
      <c r="AQ58" s="70"/>
      <c r="AR58" s="70"/>
      <c r="AS58" s="70"/>
      <c r="AT58" s="70"/>
      <c r="AU58" s="70"/>
      <c r="AV58" s="70"/>
      <c r="AW58" s="70"/>
      <c r="AX58" s="70"/>
      <c r="AY58" s="70"/>
      <c r="AZ58" s="70"/>
    </row>
    <row r="59" spans="1:65" ht="15.6" customHeight="1" x14ac:dyDescent="0.2">
      <c r="A59" s="210" t="s">
        <v>114</v>
      </c>
      <c r="B59" s="16"/>
      <c r="C59" s="302"/>
      <c r="D59" s="302"/>
      <c r="E59" s="302"/>
      <c r="F59" s="302"/>
      <c r="G59" s="302"/>
      <c r="H59" s="302"/>
      <c r="I59" s="302"/>
      <c r="J59" s="302"/>
      <c r="K59" s="302"/>
      <c r="L59" s="302"/>
      <c r="M59" s="21">
        <f t="shared" si="89"/>
        <v>0</v>
      </c>
      <c r="N59" s="299"/>
      <c r="O59" s="299" t="s">
        <v>113</v>
      </c>
      <c r="P59" s="128"/>
      <c r="Q59" s="159" t="s">
        <v>0</v>
      </c>
      <c r="R59" s="327">
        <f>+AC59</f>
        <v>980350</v>
      </c>
      <c r="S59" s="162">
        <f>IF(C12=2,S56*C6/100,IF($G$6=Lister!$D$4,(S56*$C$6)/100,IF($G$6=Lister!$D$5,(S58*$C$6)/100,IF($G$6=Lister!$D$6,((S58-SUMIF($A$52:$A$62,Lister!$M$10,C52:C62))*$C$6)/100,IF($G$6=Lister!$D$7,(S57*$C$6)/100,0)))))</f>
        <v>0</v>
      </c>
      <c r="T59" s="162">
        <f>IF(D12=2,T56*D6/100,IF($G$6=Lister!$D$4,(T56*$C$6)/100,IF($G$6=Lister!$D$5,(T58*$C$6)/100,IF($G$6=Lister!$D$6,((T58-SUMIF($A$52:$A$62,Lister!$M$10,D52:D62))*$C$6)/100,IF($G$6=Lister!$D$7,(T57*$C$6)/100,0)))))</f>
        <v>269050</v>
      </c>
      <c r="U59" s="162">
        <f>IF(E12=2,U56*E6/100,IF($G$6=Lister!$D$4,(U56*$C$6)/100,IF($G$6=Lister!$D$5,(U58*$C$6)/100,IF($G$6=Lister!$D$6,((U58-SUMIF($A$52:$A$62,Lister!$M$10,E52:E62))*$C$6)/100,IF($G$6=Lister!$D$7,(U57*$C$6)/100,0)))))</f>
        <v>281175</v>
      </c>
      <c r="V59" s="162">
        <f>IF(F12=2,V56*F6/100,IF($G$6=Lister!$D$4,(V56*$C$6)/100,IF($G$6=Lister!$D$5,(V58*$C$6)/100,IF($G$6=Lister!$D$6,((V58-SUMIF($A$52:$A$62,Lister!$M$10,F52:F62))*$C$6)/100,IF($G$6=Lister!$D$7,(V57*$C$6)/100,0)))))</f>
        <v>283750</v>
      </c>
      <c r="W59" s="162">
        <f>IF(G12=2,W56*G6/100,IF($G$6=Lister!$D$4,(W56*$C$6)/100,IF($G$6=Lister!$D$5,(W58*$C$6)/100,IF($G$6=Lister!$D$6,((W58-SUMIF($A$52:$A$62,Lister!$M$10,G52:G62))*$C$6)/100,IF($G$6=Lister!$D$7,(W57*$C$6)/100,0)))))</f>
        <v>146375</v>
      </c>
      <c r="X59" s="315">
        <f>IF(H12=2,X56*H6/100,IF($G$6=Lister!$D$4,(X56*$C$6)/100,IF($G$6=Lister!$D$5,(X58*$C$6)/100,IF($G$6=Lister!$D$6,((X58-SUMIF($A$52:$A$62,Lister!$M$10,H52:H62))*$C$6)/100,IF($G$6=Lister!$D$7,(X57*$C$6)/100,0)))))</f>
        <v>0</v>
      </c>
      <c r="Y59" s="312">
        <f>IF(I12=2,Y56*I6/100,IF($G$6=Lister!$D$4,(Y56*$C$6)/100,IF($G$6=Lister!$D$5,(Y58*$C$6)/100,IF($G$6=Lister!$D$6,((Y58-SUMIF($A$52:$A$62,Lister!$M$10,I52:I62))*$C$6)/100,IF($G$6=Lister!$D$7,(Y57*$C$6)/100,0)))))</f>
        <v>0</v>
      </c>
      <c r="Z59" s="21">
        <f>IF(J12=2,Z56*J6/100,IF($G$6=Lister!$D$4,(Z56*$C$6)/100,IF($G$6=Lister!$D$5,(Z58*$C$6)/100,IF($G$6=Lister!$D$6,((Z58-SUMIF($A$52:$A$62,Lister!$M$10,J52:J62))*$C$6)/100,IF($G$6=Lister!$D$7,(Z57*$C$6)/100,0)))))</f>
        <v>0</v>
      </c>
      <c r="AA59" s="21">
        <f>IF(K12=2,AA56*K6/100,IF($G$6=Lister!$D$4,(AA56*$C$6)/100,IF($G$6=Lister!$D$5,(AA58*$C$6)/100,IF($G$6=Lister!$D$6,((AA58-SUMIF($A$52:$A$62,Lister!$M$10,K52:K62))*$C$6)/100,IF($G$6=Lister!$D$7,(AA57*$C$6)/100,0)))))</f>
        <v>0</v>
      </c>
      <c r="AB59" s="21">
        <f>IF(L12=2,AB56*L6/100,IF($G$6=Lister!$D$4,(AB56*$C$6)/100,IF($G$6=Lister!$D$5,(AB58*$C$6)/100,IF($G$6=Lister!$D$6,((AB58-SUMIF($A$52:$A$62,Lister!$M$10,L52:L62))*$C$6)/100,IF($G$6=Lister!$D$7,(AB57*$C$6)/100,0)))))</f>
        <v>0</v>
      </c>
      <c r="AC59" s="147">
        <f t="shared" si="98"/>
        <v>980350</v>
      </c>
      <c r="AF59" s="70"/>
      <c r="AG59" s="70"/>
      <c r="AH59" s="70"/>
      <c r="AI59" s="70"/>
      <c r="AJ59" s="70"/>
      <c r="AK59" s="70"/>
      <c r="AL59" s="70"/>
      <c r="AM59" s="70"/>
      <c r="AN59" s="70"/>
      <c r="AO59" s="70"/>
      <c r="AP59" s="70"/>
      <c r="AQ59" s="70"/>
      <c r="AR59" s="70"/>
      <c r="AS59" s="70"/>
      <c r="AT59" s="70"/>
      <c r="AU59" s="70"/>
      <c r="AV59" s="70"/>
      <c r="AW59" s="70"/>
      <c r="AX59" s="70"/>
      <c r="AY59" s="70"/>
      <c r="AZ59" s="70"/>
    </row>
    <row r="60" spans="1:65" ht="15.6" customHeight="1" x14ac:dyDescent="0.2">
      <c r="A60" s="230" t="s">
        <v>114</v>
      </c>
      <c r="B60" s="231"/>
      <c r="C60" s="302"/>
      <c r="D60" s="302"/>
      <c r="E60" s="302"/>
      <c r="F60" s="302"/>
      <c r="G60" s="302"/>
      <c r="H60" s="302"/>
      <c r="I60" s="302"/>
      <c r="J60" s="302"/>
      <c r="K60" s="302"/>
      <c r="L60" s="302"/>
      <c r="M60" s="21">
        <f t="shared" si="89"/>
        <v>0</v>
      </c>
      <c r="N60" s="299"/>
      <c r="O60" s="299" t="s">
        <v>113</v>
      </c>
      <c r="P60" s="128"/>
      <c r="Q60" s="160" t="s">
        <v>103</v>
      </c>
      <c r="R60" s="327">
        <f t="shared" si="93"/>
        <v>0</v>
      </c>
      <c r="S60" s="162">
        <f>+IF($C$8=Lister!$O$5,C$30*Takstblad!C$81,0)</f>
        <v>0</v>
      </c>
      <c r="T60" s="162">
        <f>+IF($C$8=Lister!$O$5,D$30*Takstblad!D$81,0)</f>
        <v>0</v>
      </c>
      <c r="U60" s="162">
        <f>+IF($C$8=Lister!$O$5,E$30*Takstblad!E$81,0)</f>
        <v>0</v>
      </c>
      <c r="V60" s="162">
        <f>+IF($C$8=Lister!$O$5,F$30*Takstblad!F$81,0)</f>
        <v>0</v>
      </c>
      <c r="W60" s="162">
        <f>+IF($C$8=Lister!$O$5,G$30*Takstblad!G$81,0)</f>
        <v>0</v>
      </c>
      <c r="X60" s="315">
        <f>+IF($C$8=Lister!$O$5,H$30*Takstblad!H$81,0)</f>
        <v>0</v>
      </c>
      <c r="Y60" s="312">
        <f>+IF($C$8=Lister!$O$5,I$30*Takstblad!I$81,0)</f>
        <v>0</v>
      </c>
      <c r="Z60" s="21">
        <f>+IF($C$8=Lister!$O$5,J$30*Takstblad!J$81,0)</f>
        <v>0</v>
      </c>
      <c r="AA60" s="21">
        <f>+IF($C$8=Lister!$O$5,K$30*Takstblad!K$81,0)</f>
        <v>0</v>
      </c>
      <c r="AB60" s="21">
        <f>+IF($C$8=Lister!$O$5,L$30*Takstblad!L$81,0)</f>
        <v>0</v>
      </c>
      <c r="AC60" s="147">
        <f t="shared" si="98"/>
        <v>0</v>
      </c>
      <c r="AF60" s="70"/>
      <c r="AG60" s="70"/>
      <c r="AH60" s="70"/>
      <c r="AI60" s="70"/>
      <c r="AJ60" s="70"/>
      <c r="AK60" s="70"/>
      <c r="AL60" s="70"/>
      <c r="AM60" s="70"/>
      <c r="AN60" s="70"/>
      <c r="AO60" s="70"/>
      <c r="AP60" s="70"/>
      <c r="AQ60" s="70"/>
      <c r="AR60" s="70"/>
      <c r="AS60" s="70"/>
      <c r="AT60" s="70"/>
      <c r="AU60" s="70"/>
      <c r="AV60" s="70"/>
      <c r="AW60" s="70"/>
      <c r="AX60" s="70"/>
      <c r="AY60" s="70"/>
      <c r="AZ60" s="70"/>
    </row>
    <row r="61" spans="1:65" ht="17.45" customHeight="1" x14ac:dyDescent="0.2">
      <c r="A61" s="210" t="s">
        <v>114</v>
      </c>
      <c r="B61" s="16"/>
      <c r="C61" s="302"/>
      <c r="D61" s="302"/>
      <c r="E61" s="302"/>
      <c r="F61" s="302"/>
      <c r="G61" s="302"/>
      <c r="H61" s="302"/>
      <c r="I61" s="302"/>
      <c r="J61" s="302"/>
      <c r="K61" s="302"/>
      <c r="L61" s="302"/>
      <c r="M61" s="21">
        <f t="shared" si="89"/>
        <v>0</v>
      </c>
      <c r="N61" s="299"/>
      <c r="O61" s="299" t="s">
        <v>113</v>
      </c>
      <c r="P61" s="128"/>
      <c r="Q61" s="160" t="s">
        <v>108</v>
      </c>
      <c r="R61" s="327">
        <f t="shared" si="93"/>
        <v>0</v>
      </c>
      <c r="S61" s="162">
        <f>+S77+S91</f>
        <v>0</v>
      </c>
      <c r="T61" s="162">
        <f t="shared" ref="T61:AB61" si="104">+T77+T91</f>
        <v>0</v>
      </c>
      <c r="U61" s="162">
        <f t="shared" si="104"/>
        <v>0</v>
      </c>
      <c r="V61" s="162">
        <f t="shared" si="104"/>
        <v>0</v>
      </c>
      <c r="W61" s="162">
        <f t="shared" si="104"/>
        <v>0</v>
      </c>
      <c r="X61" s="315">
        <f t="shared" si="104"/>
        <v>0</v>
      </c>
      <c r="Y61" s="312">
        <f t="shared" si="104"/>
        <v>0</v>
      </c>
      <c r="Z61" s="21">
        <f t="shared" si="104"/>
        <v>0</v>
      </c>
      <c r="AA61" s="21">
        <f t="shared" si="104"/>
        <v>0</v>
      </c>
      <c r="AB61" s="21">
        <f t="shared" si="104"/>
        <v>0</v>
      </c>
      <c r="AC61" s="147">
        <f t="shared" si="98"/>
        <v>0</v>
      </c>
      <c r="AF61" s="70"/>
      <c r="AG61" s="70"/>
      <c r="AH61" s="70"/>
      <c r="AI61" s="70"/>
      <c r="AJ61" s="70"/>
      <c r="AK61" s="70"/>
      <c r="AL61" s="70"/>
      <c r="AM61" s="70"/>
      <c r="AN61" s="70"/>
      <c r="AO61" s="70"/>
      <c r="AP61" s="70"/>
      <c r="AQ61" s="70"/>
      <c r="AR61" s="70"/>
      <c r="AS61" s="70"/>
      <c r="AT61" s="70"/>
      <c r="AU61" s="70"/>
      <c r="AV61" s="70"/>
      <c r="AW61" s="70"/>
      <c r="AX61" s="70"/>
      <c r="AY61" s="70"/>
      <c r="AZ61" s="70"/>
    </row>
    <row r="62" spans="1:65" s="11" customFormat="1" ht="15.6" customHeight="1" x14ac:dyDescent="0.2">
      <c r="A62" s="230" t="s">
        <v>114</v>
      </c>
      <c r="B62" s="231"/>
      <c r="C62" s="302"/>
      <c r="D62" s="302"/>
      <c r="E62" s="302"/>
      <c r="F62" s="302"/>
      <c r="G62" s="302"/>
      <c r="H62" s="302"/>
      <c r="I62" s="302"/>
      <c r="J62" s="302"/>
      <c r="K62" s="302"/>
      <c r="L62" s="302"/>
      <c r="M62" s="21">
        <f t="shared" si="89"/>
        <v>0</v>
      </c>
      <c r="N62" s="299"/>
      <c r="O62" s="299" t="s">
        <v>113</v>
      </c>
      <c r="P62" s="128"/>
      <c r="Q62" s="159" t="s">
        <v>545</v>
      </c>
      <c r="R62" s="327">
        <f t="shared" si="93"/>
        <v>0</v>
      </c>
      <c r="S62" s="162" t="str">
        <f>IF($C$12=2,(SUM(S58:S61)*$C$13)/100,"0")</f>
        <v>0</v>
      </c>
      <c r="T62" s="162" t="str">
        <f t="shared" ref="T62:Z62" si="105">IF($C$12=2,(SUM(T58:T61)*$C$13)/100,"0")</f>
        <v>0</v>
      </c>
      <c r="U62" s="162" t="str">
        <f t="shared" si="105"/>
        <v>0</v>
      </c>
      <c r="V62" s="162" t="str">
        <f t="shared" si="105"/>
        <v>0</v>
      </c>
      <c r="W62" s="162" t="str">
        <f t="shared" si="105"/>
        <v>0</v>
      </c>
      <c r="X62" s="315" t="str">
        <f t="shared" si="105"/>
        <v>0</v>
      </c>
      <c r="Y62" s="313" t="str">
        <f t="shared" si="105"/>
        <v>0</v>
      </c>
      <c r="Z62" s="162" t="str">
        <f t="shared" si="105"/>
        <v>0</v>
      </c>
      <c r="AA62" s="162" t="str">
        <f t="shared" ref="AA62:AB62" si="106">IF($C$12=2,(SUM(AA58:AA61)*$C$13)/100,"0")</f>
        <v>0</v>
      </c>
      <c r="AB62" s="162" t="str">
        <f t="shared" si="106"/>
        <v>0</v>
      </c>
      <c r="AC62" s="147">
        <f t="shared" si="98"/>
        <v>0</v>
      </c>
      <c r="AF62" s="70"/>
      <c r="AG62" s="70"/>
      <c r="AH62" s="70"/>
      <c r="AI62" s="70"/>
      <c r="AJ62" s="70"/>
      <c r="AK62" s="70"/>
      <c r="AL62" s="70"/>
      <c r="AM62" s="70"/>
      <c r="AN62" s="70"/>
      <c r="AO62" s="70"/>
      <c r="AP62" s="70"/>
      <c r="AQ62" s="70"/>
      <c r="AR62" s="78"/>
      <c r="AS62" s="78"/>
      <c r="AT62" s="78"/>
      <c r="AU62" s="78"/>
      <c r="AV62" s="78"/>
      <c r="AW62" s="78"/>
      <c r="AX62" s="78"/>
      <c r="AY62" s="78"/>
      <c r="AZ62" s="78"/>
    </row>
    <row r="63" spans="1:65" s="11" customFormat="1" ht="15" customHeight="1" x14ac:dyDescent="0.2">
      <c r="A63" s="5" t="s">
        <v>234</v>
      </c>
      <c r="B63" s="16"/>
      <c r="C63" s="28" t="b">
        <f>IFERROR(IF($C$12=2,0,IF($C$8="project-supplement",0,IF(OR($G$7="Salary and Operations",$G$7="Operations"),(VLOOKUP($C$2,Takstblad!$B$68:$L$80,2,FALSE)*C$67)))),0)</f>
        <v>0</v>
      </c>
      <c r="D63" s="28" t="b">
        <f>IFERROR(IF($C$12=2,0,IF($C$8="project-supplement",0,IF(OR($G$7="Salary and Operations",$G$7="Operations"),(VLOOKUP($C$2,Takstblad!$B$68:$L$80,3,FALSE)*D$67)))),0)</f>
        <v>0</v>
      </c>
      <c r="E63" s="28" t="b">
        <f>IFERROR(IF($C$12=2,0,IF($C$8="project-supplement",0,IF(OR($G$7="Salary and Operations",$G$7="Operations"),(VLOOKUP($C$2,Takstblad!$B$68:$L$80,4,FALSE)*E$67)))),0)</f>
        <v>0</v>
      </c>
      <c r="F63" s="28" t="b">
        <f>IFERROR(IF($C$12=2,0,IF($C$8="project-supplement",0,IF(OR($G$7="Salary and Operations",$G$7="Operations"),(VLOOKUP($C$2,Takstblad!$B$68:$L$80,5,FALSE)*F$67)))),0)</f>
        <v>0</v>
      </c>
      <c r="G63" s="28" t="b">
        <f>IFERROR(IF($C$12=2,0,IF($C$8="project-supplement",0,IF(OR($G$7="Salary and Operations",$G$7="Operations"),(VLOOKUP($C$2,Takstblad!$B$68:$L$80,6,FALSE)*G$67)))),0)</f>
        <v>0</v>
      </c>
      <c r="H63" s="28" t="b">
        <f>IFERROR(IF($C$12=2,0,IF($C$8="project-supplement",0,IF(OR($G$7="Salary and Operations",$G$7="Operations"),(VLOOKUP($C$2,Takstblad!$B$68:$L$80,7,FALSE)*H$67)))),0)</f>
        <v>0</v>
      </c>
      <c r="I63" s="28" t="b">
        <f>IFERROR(IF($C$12=2,0,IF($C$8="project-supplement",0,IF(OR($G$7="Salary and Operations",$G$7="Operations"),(VLOOKUP($C$2,Takstblad!$B$68:$L$80,8,FALSE)*I$67)))),0)</f>
        <v>0</v>
      </c>
      <c r="J63" s="28" t="b">
        <f>IFERROR(IF($C$12=2,0,IF($C$8="project-supplement",0,IF(OR($G$7="Salary and Operations",$G$7="Operations"),(VLOOKUP($C$2,Takstblad!$B$68:$L$80,9,FALSE)*J$67)))),0)</f>
        <v>0</v>
      </c>
      <c r="K63" s="28" t="b">
        <f>IFERROR(IF($C$12=2,0,IF($C$8="project-supplement",0,IF(OR($G$7="Salary and Operations",$G$7="Operations"),(VLOOKUP($C$2,Takstblad!$B$68:$L$80,10,FALSE)*K$67)))),0)</f>
        <v>0</v>
      </c>
      <c r="L63" s="28" t="b">
        <f>IFERROR(IF($C$12=2,0,IF($C$8="project-supplement",0,IF(OR($G$7="Salary and Operations",$G$7="Operations"),(VLOOKUP($C$2,Takstblad!$B$68:$L$80,11,FALSE)*L$67)))),0)</f>
        <v>0</v>
      </c>
      <c r="M63" s="21">
        <f t="shared" si="89"/>
        <v>0</v>
      </c>
      <c r="N63" s="28"/>
      <c r="O63" s="236" t="s">
        <v>152</v>
      </c>
      <c r="P63" s="127"/>
      <c r="Q63" s="158" t="s">
        <v>101</v>
      </c>
      <c r="R63" s="327">
        <f t="shared" si="93"/>
        <v>4901750</v>
      </c>
      <c r="S63" s="328">
        <f>+SUM(S58:S62)</f>
        <v>0</v>
      </c>
      <c r="T63" s="328">
        <f t="shared" ref="T63:Z63" si="107">+SUM(T58:T62)</f>
        <v>1345250</v>
      </c>
      <c r="U63" s="328">
        <f t="shared" si="107"/>
        <v>1405875</v>
      </c>
      <c r="V63" s="328">
        <f t="shared" si="107"/>
        <v>1418750</v>
      </c>
      <c r="W63" s="328">
        <f t="shared" si="107"/>
        <v>731875</v>
      </c>
      <c r="X63" s="329">
        <f t="shared" si="107"/>
        <v>0</v>
      </c>
      <c r="Y63" s="311">
        <f t="shared" si="107"/>
        <v>0</v>
      </c>
      <c r="Z63" s="146">
        <f t="shared" si="107"/>
        <v>0</v>
      </c>
      <c r="AA63" s="146">
        <f t="shared" ref="AA63:AB63" si="108">+SUM(AA58:AA62)</f>
        <v>0</v>
      </c>
      <c r="AB63" s="146">
        <f t="shared" si="108"/>
        <v>0</v>
      </c>
      <c r="AC63" s="147">
        <f t="shared" si="98"/>
        <v>4901750</v>
      </c>
      <c r="AF63" s="70"/>
      <c r="AG63" s="70"/>
      <c r="AH63" s="70"/>
      <c r="AI63" s="70"/>
      <c r="AJ63" s="70"/>
      <c r="AK63" s="70"/>
      <c r="AL63" s="70"/>
      <c r="AM63" s="70"/>
      <c r="AN63" s="70"/>
      <c r="AO63" s="70"/>
      <c r="AP63" s="70"/>
      <c r="AQ63" s="70"/>
      <c r="AR63" s="78"/>
      <c r="AS63" s="78"/>
      <c r="AT63" s="78"/>
      <c r="AU63" s="78"/>
      <c r="AV63" s="78"/>
      <c r="AW63" s="78"/>
      <c r="AX63" s="78"/>
      <c r="AY63" s="78"/>
      <c r="AZ63" s="78"/>
    </row>
    <row r="64" spans="1:65" ht="15" customHeight="1" thickBot="1" x14ac:dyDescent="0.25">
      <c r="A64" s="5" t="s">
        <v>764</v>
      </c>
      <c r="B64" s="16"/>
      <c r="C64" s="28" t="b">
        <f>IFERROR(IF($C$12=2,0,IF($C$8="project-supplement",0,IF(OR($G$7="Salary and Operations",$G$7="Operations"),(VLOOKUP($C$2,Takstblad!$B$68:$L$80,2,FALSE)*C$68)))),0)</f>
        <v>0</v>
      </c>
      <c r="D64" s="28" t="b">
        <f>IFERROR(IF($C$12=2,0,IF($C$8="project-supplement",0,IF(OR($G$7="Salary and Operations",$G$7="Operations"),(VLOOKUP($C$2,Takstblad!$B$68:$L$80,3,FALSE)*D$68)))),0)</f>
        <v>0</v>
      </c>
      <c r="E64" s="28" t="b">
        <f>IFERROR(IF($C$12=2,0,IF($C$8="project-supplement",0,IF(OR($G$7="Salary and Operations",$G$7="Operations"),(VLOOKUP($C$2,Takstblad!$B$68:$L$80,4,FALSE)*E$68)))),0)</f>
        <v>0</v>
      </c>
      <c r="F64" s="28" t="b">
        <f>IFERROR(IF($C$12=2,0,IF($C$8="project-supplement",0,IF(OR($G$7="Salary and Operations",$G$7="Operations"),(VLOOKUP($C$2,Takstblad!$B$68:$L$80,5,FALSE)*F$68)))),0)</f>
        <v>0</v>
      </c>
      <c r="G64" s="28" t="b">
        <f>IFERROR(IF($C$12=2,0,IF($C$8="project-supplement",0,IF(OR($G$7="Salary and Operations",$G$7="Operations"),(VLOOKUP($C$2,Takstblad!$B$68:$L$80,6,FALSE)*G$68)))),0)</f>
        <v>0</v>
      </c>
      <c r="H64" s="28" t="b">
        <f>IFERROR(IF($C$12=2,0,IF($C$8="project-supplement",0,IF(OR($G$7="Salary and Operations",$G$7="Operations"),(VLOOKUP($C$2,Takstblad!$B$68:$L$80,7,FALSE)*H$68)))),0)</f>
        <v>0</v>
      </c>
      <c r="I64" s="28" t="b">
        <f>IFERROR(IF($C$12=2,0,IF($C$8="project-supplement",0,IF(OR($G$7="Salary and Operations",$G$7="Operations"),(VLOOKUP($C$2,Takstblad!$B$68:$L$80,8,FALSE)*I$68)))),0)</f>
        <v>0</v>
      </c>
      <c r="J64" s="28" t="b">
        <f>IFERROR(IF($C$12=2,0,IF($C$8="project-supplement",0,IF(OR($G$7="Salary and Operations",$G$7="Operations"),(VLOOKUP($C$2,Takstblad!$B$68:$L$80,9,FALSE)*J$68)))),0)</f>
        <v>0</v>
      </c>
      <c r="K64" s="28" t="b">
        <f>IFERROR(IF($C$12=2,0,IF($C$8="project-supplement",0,IF(OR($G$7="Salary and Operations",$G$7="Operations"),(VLOOKUP($C$2,Takstblad!$B$68:$L$80,10,FALSE)*K$68)))),0)</f>
        <v>0</v>
      </c>
      <c r="L64" s="28" t="b">
        <f>IFERROR(IF($C$12=2,0,IF($C$8="project-supplement",0,IF(OR($G$7="Salary and Operations",$G$7="Operations"),(VLOOKUP($C$2,Takstblad!$B$68:$L$80,11,FALSE)*L$68)))),0)</f>
        <v>0</v>
      </c>
      <c r="M64" s="21">
        <f t="shared" si="89"/>
        <v>0</v>
      </c>
      <c r="N64" s="28"/>
      <c r="O64" s="236" t="s">
        <v>112</v>
      </c>
      <c r="P64" s="127"/>
      <c r="Q64" s="136"/>
      <c r="R64" s="138"/>
      <c r="S64" s="137"/>
      <c r="T64" s="137"/>
      <c r="U64" s="137"/>
      <c r="V64" s="137"/>
      <c r="W64" s="137"/>
      <c r="X64" s="138"/>
      <c r="Y64" s="137"/>
      <c r="Z64" s="137"/>
      <c r="AA64" s="137"/>
      <c r="AB64" s="137"/>
      <c r="AC64" s="138"/>
      <c r="AF64" s="78"/>
      <c r="AG64" s="78"/>
      <c r="AH64" s="78"/>
      <c r="AI64" s="78"/>
      <c r="AJ64" s="78"/>
      <c r="AK64" s="78"/>
      <c r="AL64" s="78"/>
      <c r="AM64" s="78"/>
      <c r="AN64" s="78"/>
      <c r="AO64" s="78"/>
      <c r="AP64" s="78"/>
      <c r="AQ64" s="78"/>
      <c r="AR64" s="70"/>
      <c r="AS64" s="70"/>
      <c r="AT64" s="70"/>
      <c r="AU64" s="70"/>
      <c r="AV64" s="70"/>
      <c r="AW64" s="70"/>
      <c r="AX64" s="70"/>
      <c r="AY64" s="70"/>
      <c r="AZ64" s="70"/>
    </row>
    <row r="65" spans="1:62" ht="15" customHeight="1" thickBot="1" x14ac:dyDescent="0.3">
      <c r="A65" s="4" t="s">
        <v>72</v>
      </c>
      <c r="B65" s="16"/>
      <c r="C65" s="22">
        <f>SUM(C52:C64)-SUMIF($A$52:$A$62,Lister!$M$9,C52:C62)</f>
        <v>0</v>
      </c>
      <c r="D65" s="22">
        <f>SUM(D52:D64)-SUMIF($A$52:$A$62,Lister!$M$9,D52:D62)</f>
        <v>145000</v>
      </c>
      <c r="E65" s="22">
        <f>SUM(E52:E64)-SUMIF($A$52:$A$62,Lister!$M$9,E52:E62)</f>
        <v>165000</v>
      </c>
      <c r="F65" s="22">
        <f>SUM(F52:F64)-SUMIF($A$52:$A$62,Lister!$M$9,F52:F62)</f>
        <v>145000</v>
      </c>
      <c r="G65" s="22">
        <f>SUM(G52:G64)-SUMIF($A$52:$A$62,Lister!$M$9,G52:G62)</f>
        <v>162500</v>
      </c>
      <c r="H65" s="22">
        <f>SUM(H52:H64)-SUMIF($A$52:$A$62,Lister!$M$9,H52:H62)</f>
        <v>0</v>
      </c>
      <c r="I65" s="51">
        <f>SUM(I52:I64)-SUMIF($A$52:$A$62,Lister!$M$9,I52:I62)</f>
        <v>0</v>
      </c>
      <c r="J65" s="51">
        <f>SUM(J52:J64)-SUMIF($A$52:$A$62,Lister!$M$9,J52:J62)</f>
        <v>0</v>
      </c>
      <c r="K65" s="51">
        <f>SUM(K52:K64)-SUMIF($A$52:$A$62,Lister!$M$9,K52:K62)</f>
        <v>0</v>
      </c>
      <c r="L65" s="51">
        <f>SUM(L52:L64)-SUMIF($A$52:$A$62,Lister!$M$9,L52:L62)</f>
        <v>0</v>
      </c>
      <c r="M65" s="13">
        <f t="shared" si="89"/>
        <v>617500</v>
      </c>
      <c r="N65" s="13"/>
      <c r="O65" s="16"/>
      <c r="P65" s="16"/>
      <c r="Q65" s="139" t="s">
        <v>605</v>
      </c>
      <c r="R65" s="140"/>
      <c r="S65" s="241"/>
      <c r="T65" s="241"/>
      <c r="U65" s="241"/>
      <c r="V65" s="241"/>
      <c r="W65" s="241"/>
      <c r="X65" s="316"/>
      <c r="Y65" s="241"/>
      <c r="Z65" s="242"/>
      <c r="AA65" s="242"/>
      <c r="AB65" s="242"/>
      <c r="AC65" s="140"/>
      <c r="AF65" s="78"/>
      <c r="AG65" s="78"/>
      <c r="AH65" s="78"/>
      <c r="AI65" s="78"/>
      <c r="AJ65" s="78"/>
      <c r="AK65" s="78"/>
      <c r="AL65" s="78"/>
      <c r="AM65" s="78"/>
      <c r="AN65" s="78"/>
      <c r="AO65" s="78"/>
      <c r="AP65" s="78"/>
      <c r="AQ65" s="78"/>
      <c r="AR65" s="70"/>
      <c r="AS65" s="70"/>
      <c r="AT65" s="70"/>
      <c r="AU65" s="70"/>
      <c r="AV65" s="70"/>
      <c r="AW65" s="70"/>
      <c r="AX65" s="70"/>
      <c r="AY65" s="70"/>
      <c r="AZ65" s="70"/>
    </row>
    <row r="66" spans="1:62" s="9" customFormat="1" ht="15" customHeight="1" x14ac:dyDescent="0.2">
      <c r="A66" s="71"/>
      <c r="B66" s="76"/>
      <c r="C66" s="76"/>
      <c r="D66" s="76"/>
      <c r="E66" s="76"/>
      <c r="F66" s="76"/>
      <c r="G66" s="76"/>
      <c r="H66" s="76"/>
      <c r="I66" s="76"/>
      <c r="J66" s="76"/>
      <c r="K66" s="76"/>
      <c r="L66" s="76"/>
      <c r="M66" s="76"/>
      <c r="N66" s="76"/>
      <c r="O66" s="86"/>
      <c r="P66" s="86"/>
      <c r="Q66" s="141"/>
      <c r="R66" s="142"/>
      <c r="S66" s="16"/>
      <c r="T66" s="16"/>
      <c r="U66" s="16"/>
      <c r="V66" s="16"/>
      <c r="W66" s="16"/>
      <c r="X66" s="317"/>
      <c r="Y66" s="16"/>
      <c r="Z66" s="16"/>
      <c r="AA66" s="16"/>
      <c r="AB66" s="16"/>
      <c r="AC66" s="142"/>
      <c r="AF66" s="70"/>
      <c r="AG66" s="70"/>
      <c r="AH66" s="70"/>
      <c r="AI66" s="70"/>
      <c r="AJ66" s="70"/>
      <c r="AK66" s="70"/>
      <c r="AL66" s="70"/>
      <c r="AM66" s="70"/>
      <c r="AN66" s="70"/>
      <c r="AO66" s="70"/>
      <c r="AP66" s="70"/>
      <c r="AQ66" s="70"/>
      <c r="AR66" s="71"/>
      <c r="AS66" s="71"/>
      <c r="AT66" s="71"/>
      <c r="AU66" s="71"/>
      <c r="AV66" s="71"/>
      <c r="AW66" s="71"/>
      <c r="AX66" s="71"/>
      <c r="AY66" s="71"/>
      <c r="AZ66" s="71"/>
    </row>
    <row r="67" spans="1:62" ht="14.25" hidden="1" customHeight="1" x14ac:dyDescent="0.2">
      <c r="A67" s="71" t="s">
        <v>196</v>
      </c>
      <c r="B67" s="70"/>
      <c r="C67" s="109">
        <f>SUMIFS(C33:C42,$O$33:$O$42,Lister!$D$30,$B$33:$B$42,Lister!$A$37)+SUMIFS(C33:C42,$O$33:$O$42,Lister!$D$29,$B$33:$B$42,Lister!$A$37)</f>
        <v>0</v>
      </c>
      <c r="D67" s="109">
        <f>SUMIFS(D33:D42,$O$33:$O$42,Lister!$D$30,$B$33:$B$42,Lister!$A$37)+SUMIFS(D33:D42,$O$33:$O$42,Lister!$D$29,$B$33:$B$42,Lister!$A$37)</f>
        <v>0</v>
      </c>
      <c r="E67" s="109">
        <f>SUMIFS(E33:E42,$O$33:$O$42,Lister!$D$30,$B$33:$B$42,Lister!$A$37)+SUMIFS(E33:E42,$O$33:$O$42,Lister!$D$29,$B$33:$B$42,Lister!$A$37)</f>
        <v>0</v>
      </c>
      <c r="F67" s="109">
        <f>SUMIFS(F33:F42,$O$33:$O$42,Lister!$D$30,$B$33:$B$42,Lister!$A$37)+SUMIFS(F33:F42,$O$33:$O$42,Lister!$D$29,$B$33:$B$42,Lister!$A$37)</f>
        <v>0</v>
      </c>
      <c r="G67" s="109">
        <f>SUMIFS(G33:G42,$O$33:$O$42,Lister!$D$30,$B$33:$B$42,Lister!$A$37)+SUMIFS(G33:G42,$O$33:$O$42,Lister!$D$29,$B$33:$B$42,Lister!$A$37)</f>
        <v>0</v>
      </c>
      <c r="H67" s="109">
        <f>SUMIFS(H33:H42,$O$33:$O$42,Lister!$D$30,$B$33:$B$42,Lister!$A$37)+SUMIFS(H33:H42,$O$33:$O$42,Lister!$D$29,$B$33:$B$42,Lister!$A$37)</f>
        <v>0</v>
      </c>
      <c r="I67" s="109">
        <f>SUMIFS(I33:I42,$O$33:$O$42,Lister!$D$30,$B$33:$B$42,Lister!$A$37)+SUMIFS(I33:I42,$O$33:$O$42,Lister!$D$29,$B$33:$B$42,Lister!$A$37)</f>
        <v>0</v>
      </c>
      <c r="J67" s="109">
        <f>SUMIFS(J33:J42,$O$33:$O$42,Lister!$D$30,$B$33:$B$42,Lister!$A$37)+SUMIFS(J33:J42,$O$33:$O$42,Lister!$D$29,$B$33:$B$42,Lister!$A$37)</f>
        <v>0</v>
      </c>
      <c r="K67" s="109">
        <f>SUMIFS(K33:K42,$O$33:$O$42,Lister!$D$30,$B$33:$B$42,Lister!$A$37)+SUMIFS(K33:K42,$O$33:$O$42,Lister!$D$29,$B$33:$B$42,Lister!$A$37)</f>
        <v>0</v>
      </c>
      <c r="L67" s="109">
        <f>SUMIFS(L33:L42,$O$33:$O$42,Lister!$D$30,$B$33:$B$42,Lister!$A$37)+SUMIFS(L33:L42,$O$33:$O$42,Lister!$D$29,$B$33:$B$42,Lister!$A$37)</f>
        <v>0</v>
      </c>
      <c r="M67" s="70"/>
      <c r="N67" s="70"/>
      <c r="O67" s="85"/>
      <c r="P67" s="85"/>
      <c r="Q67" s="141"/>
      <c r="R67" s="142"/>
      <c r="S67" s="16"/>
      <c r="T67" s="16"/>
      <c r="U67" s="16"/>
      <c r="V67" s="16"/>
      <c r="W67" s="16"/>
      <c r="X67" s="317"/>
      <c r="Y67" s="16"/>
      <c r="Z67" s="16"/>
      <c r="AA67" s="16"/>
      <c r="AB67" s="16"/>
      <c r="AC67" s="142"/>
      <c r="AF67" s="70"/>
      <c r="AG67" s="70"/>
      <c r="AH67" s="70"/>
      <c r="AI67" s="70"/>
      <c r="AJ67" s="70"/>
      <c r="AK67" s="70"/>
      <c r="AL67" s="70"/>
      <c r="AM67" s="70"/>
      <c r="AN67" s="70"/>
      <c r="AO67" s="70"/>
      <c r="AP67" s="70"/>
      <c r="AQ67" s="70"/>
      <c r="AR67" s="70"/>
      <c r="AS67" s="70"/>
      <c r="AT67" s="70"/>
      <c r="AU67" s="70"/>
      <c r="AV67" s="70"/>
      <c r="AW67" s="70"/>
      <c r="AX67" s="70"/>
      <c r="AY67" s="70"/>
      <c r="AZ67" s="70"/>
    </row>
    <row r="68" spans="1:62" ht="14.25" hidden="1" customHeight="1" x14ac:dyDescent="0.2">
      <c r="A68" s="71" t="s">
        <v>197</v>
      </c>
      <c r="B68" s="71"/>
      <c r="C68" s="109">
        <f>SUMIFS(C33:C42,$O$33:$O$42,Lister!$D$31,$B$33:$B$42,Lister!$A$37)</f>
        <v>0</v>
      </c>
      <c r="D68" s="109">
        <f>SUMIFS(D33:D42,$O$33:$O$42,Lister!$D$31,$B$33:$B$42,Lister!$A$37)</f>
        <v>0</v>
      </c>
      <c r="E68" s="109">
        <f>SUMIFS(E33:E42,$O$33:$O$42,Lister!$D$31,$B$33:$B$42,Lister!$A$37)</f>
        <v>0</v>
      </c>
      <c r="F68" s="109">
        <f>SUMIFS(F33:F42,$O$33:$O$42,Lister!$D$31,$B$33:$B$42,Lister!$A$37)</f>
        <v>0</v>
      </c>
      <c r="G68" s="109">
        <f>SUMIFS(G33:G42,$O$33:$O$42,Lister!$D$31,$B$33:$B$42,Lister!$A$37)</f>
        <v>0</v>
      </c>
      <c r="H68" s="109">
        <f>SUMIFS(H33:H42,$O$33:$O$42,Lister!$D$31,$B$33:$B$42,Lister!$A$37)</f>
        <v>0</v>
      </c>
      <c r="I68" s="109">
        <f>SUMIFS(I33:I42,$O$33:$O$42,Lister!$D$31,$B$33:$B$42,Lister!$A$37)</f>
        <v>0</v>
      </c>
      <c r="J68" s="109">
        <f>SUMIFS(J33:J42,$O$33:$O$42,Lister!$D$31,$B$33:$B$42,Lister!$A$37)</f>
        <v>0</v>
      </c>
      <c r="K68" s="109">
        <f>SUMIFS(K33:K42,$O$33:$O$42,Lister!$D$31,$B$33:$B$42,Lister!$A$37)</f>
        <v>0</v>
      </c>
      <c r="L68" s="109">
        <f>SUMIFS(L33:L42,$O$33:$O$42,Lister!$D$31,$B$33:$B$42,Lister!$A$37)</f>
        <v>0</v>
      </c>
      <c r="M68" s="71"/>
      <c r="N68" s="71"/>
      <c r="O68" s="87"/>
      <c r="P68" s="87"/>
      <c r="Q68" s="141"/>
      <c r="R68" s="142"/>
      <c r="S68" s="16"/>
      <c r="T68" s="16"/>
      <c r="U68" s="16"/>
      <c r="V68" s="16"/>
      <c r="W68" s="16"/>
      <c r="X68" s="317"/>
      <c r="Y68" s="16"/>
      <c r="Z68" s="16"/>
      <c r="AA68" s="16"/>
      <c r="AB68" s="16"/>
      <c r="AC68" s="142"/>
      <c r="AF68" s="71"/>
      <c r="AG68" s="71"/>
      <c r="AH68" s="71"/>
      <c r="AI68" s="71"/>
      <c r="AJ68" s="71"/>
      <c r="AK68" s="71"/>
      <c r="AL68" s="71"/>
      <c r="AM68" s="71"/>
      <c r="AN68" s="71"/>
      <c r="AO68" s="71"/>
      <c r="AP68" s="71"/>
      <c r="AQ68" s="71"/>
      <c r="AR68" s="70"/>
      <c r="AS68" s="70"/>
    </row>
    <row r="69" spans="1:62" s="9" customFormat="1" ht="14.25" customHeight="1" x14ac:dyDescent="0.2">
      <c r="A69" s="70"/>
      <c r="B69" s="73"/>
      <c r="C69" s="70"/>
      <c r="D69" s="70"/>
      <c r="E69" s="70"/>
      <c r="F69" s="70"/>
      <c r="G69" s="70"/>
      <c r="H69" s="73"/>
      <c r="I69" s="73"/>
      <c r="J69" s="73"/>
      <c r="K69" s="73"/>
      <c r="L69" s="73"/>
      <c r="M69" s="73"/>
      <c r="N69" s="73"/>
      <c r="O69" s="88"/>
      <c r="P69" s="88"/>
      <c r="Q69" s="161" t="s">
        <v>22</v>
      </c>
      <c r="R69" s="133" t="s">
        <v>34</v>
      </c>
      <c r="S69" s="45">
        <f>+S53</f>
        <v>2025</v>
      </c>
      <c r="T69" s="8">
        <f t="shared" ref="T69:Z69" si="109">+T53</f>
        <v>2026</v>
      </c>
      <c r="U69" s="8">
        <f t="shared" si="109"/>
        <v>2027</v>
      </c>
      <c r="V69" s="8">
        <f t="shared" si="109"/>
        <v>2028</v>
      </c>
      <c r="W69" s="8">
        <f t="shared" si="109"/>
        <v>2029</v>
      </c>
      <c r="X69" s="133">
        <f t="shared" si="109"/>
        <v>2030</v>
      </c>
      <c r="Y69" s="8">
        <f t="shared" si="109"/>
        <v>2031</v>
      </c>
      <c r="Z69" s="8">
        <f t="shared" si="109"/>
        <v>2032</v>
      </c>
      <c r="AA69" s="8">
        <f t="shared" ref="AA69:AB69" si="110">+AA53</f>
        <v>2033</v>
      </c>
      <c r="AB69" s="8">
        <f t="shared" si="110"/>
        <v>2034</v>
      </c>
      <c r="AC69" s="133" t="s">
        <v>34</v>
      </c>
      <c r="AF69" s="71"/>
      <c r="AG69" s="71"/>
      <c r="AH69" s="71"/>
      <c r="AI69" s="71"/>
      <c r="AJ69" s="71"/>
      <c r="AK69" s="71"/>
      <c r="AL69" s="71"/>
      <c r="AM69" s="71"/>
      <c r="AN69" s="71"/>
      <c r="AO69" s="71"/>
      <c r="AP69" s="71"/>
      <c r="AQ69" s="71"/>
      <c r="AR69" s="71"/>
      <c r="AS69" s="71"/>
    </row>
    <row r="70" spans="1:62" s="9" customFormat="1" ht="14.25" customHeight="1" x14ac:dyDescent="0.2">
      <c r="A70" s="70"/>
      <c r="B70" s="78"/>
      <c r="C70" s="78"/>
      <c r="D70" s="78"/>
      <c r="E70" s="78"/>
      <c r="F70" s="78"/>
      <c r="G70" s="78"/>
      <c r="H70" s="78"/>
      <c r="I70" s="78"/>
      <c r="J70" s="78"/>
      <c r="K70" s="78"/>
      <c r="L70" s="78"/>
      <c r="M70" s="78"/>
      <c r="N70" s="78"/>
      <c r="O70" s="89"/>
      <c r="P70" s="89"/>
      <c r="Q70" s="156" t="s">
        <v>74</v>
      </c>
      <c r="R70" s="330">
        <f t="shared" ref="R70:R79" si="111">+AC70</f>
        <v>3303900</v>
      </c>
      <c r="S70" s="331">
        <f>+SUMIF($O$20:$O$29,Lister!$D$29,S20:S29)+SUMIF($O$20:$O$29,Lister!$D$30,S20:S29)</f>
        <v>0</v>
      </c>
      <c r="T70" s="334">
        <f>+SUMIF($O$20:$O$29,Lister!$D$29,T20:T29)+SUMIF($O$20:$O$29,Lister!$D$30,T20:T29)</f>
        <v>931200</v>
      </c>
      <c r="U70" s="331">
        <f>+SUMIF($O$20:$O$29,Lister!$D$29,U20:U29)+SUMIF($O$20:$O$29,Lister!$D$30,U20:U29)</f>
        <v>959700</v>
      </c>
      <c r="V70" s="334">
        <f>+SUMIF($O$20:$O$29,Lister!$D$29,V20:V29)+SUMIF($O$20:$O$29,Lister!$D$30,V20:V29)</f>
        <v>990000</v>
      </c>
      <c r="W70" s="331">
        <f>+SUMIF($O$20:$O$29,Lister!$D$29,W20:W29)+SUMIF($O$20:$O$29,Lister!$D$30,W20:W29)</f>
        <v>423000</v>
      </c>
      <c r="X70" s="335">
        <f>+SUMIF($O$20:$O$29,Lister!$D$29,X20:X29)+SUMIF($O$20:$O$29,Lister!$D$30,X20:X29)</f>
        <v>0</v>
      </c>
      <c r="Y70" s="309">
        <f>+SUMIF($O$20:$O$29,Lister!$D$29,Y20:Y29)+SUMIF($O$20:$O$29,Lister!$D$30,Y20:Y29)</f>
        <v>0</v>
      </c>
      <c r="Z70" s="28">
        <f>+SUMIF($O$20:$O$29,Lister!$D$29,Z20:Z29)+SUMIF($O$20:$O$29,Lister!$D$30,Z20:Z29)</f>
        <v>0</v>
      </c>
      <c r="AA70" s="28">
        <f>+SUMIF($O$20:$O$29,Lister!$D$29,AA20:AA29)+SUMIF($O$20:$O$29,Lister!$D$30,AA20:AA29)</f>
        <v>0</v>
      </c>
      <c r="AB70" s="28">
        <f>+SUMIF($O$20:$O$29,Lister!$D$29,AB20:AB29)+SUMIF($O$20:$O$29,Lister!$D$30,AB20:AB29)</f>
        <v>0</v>
      </c>
      <c r="AC70" s="149">
        <f>SUM(S70:AB70)</f>
        <v>3303900</v>
      </c>
      <c r="AF70" s="71"/>
      <c r="AG70" s="71"/>
      <c r="AH70" s="71"/>
      <c r="AI70" s="71"/>
      <c r="AJ70" s="71"/>
      <c r="AK70" s="71"/>
      <c r="AL70" s="71"/>
      <c r="AM70" s="71"/>
      <c r="AN70" s="71"/>
      <c r="AO70" s="71"/>
      <c r="AP70" s="71"/>
      <c r="AQ70" s="71"/>
      <c r="AR70" s="71"/>
      <c r="AS70" s="71"/>
    </row>
    <row r="71" spans="1:62" ht="14.25" customHeight="1" x14ac:dyDescent="0.2">
      <c r="H71"/>
      <c r="N71" s="78"/>
      <c r="O71" s="89"/>
      <c r="P71" s="89"/>
      <c r="Q71" s="157" t="s">
        <v>75</v>
      </c>
      <c r="R71" s="324">
        <f t="shared" si="111"/>
        <v>0</v>
      </c>
      <c r="S71" s="325">
        <f>+SUMIF($O$33:$O$45,Lister!$D$29,S33:S45)+SUMIF($O$33:$O$45,Lister!$D$30,S33:S45)</f>
        <v>0</v>
      </c>
      <c r="T71" s="336">
        <f>+SUMIF($O$33:$O$45,Lister!$D$29,T33:T45)+SUMIF($O$33:$O$45,Lister!$D$30,T33:T45)</f>
        <v>0</v>
      </c>
      <c r="U71" s="325">
        <f>+SUMIF($O$33:$O$45,Lister!$D$29,U33:U45)+SUMIF($O$33:$O$45,Lister!$D$30,U33:U45)</f>
        <v>0</v>
      </c>
      <c r="V71" s="336">
        <f>+SUMIF($O$33:$O$45,Lister!$D$29,V33:V45)+SUMIF($O$33:$O$45,Lister!$D$30,V33:V45)</f>
        <v>0</v>
      </c>
      <c r="W71" s="325">
        <f>+SUMIF($O$33:$O$45,Lister!$D$29,W33:W45)+SUMIF($O$33:$O$45,Lister!$D$30,W33:W45)</f>
        <v>0</v>
      </c>
      <c r="X71" s="337">
        <f>+SUMIF($O$33:$O$45,Lister!$D$29,X33:X45)+SUMIF($O$33:$O$45,Lister!$D$30,X33:X45)</f>
        <v>0</v>
      </c>
      <c r="Y71" s="310">
        <f>+SUMIF($O$33:$O$45,Lister!$D$29,Y33:Y45)+SUMIF($O$33:$O$45,Lister!$D$30,Y33:Y45)</f>
        <v>0</v>
      </c>
      <c r="Z71" s="122">
        <f>+SUMIF($O$33:$O$45,Lister!$D$29,Z33:Z45)+SUMIF($O$33:$O$45,Lister!$D$30,Z33:Z45)</f>
        <v>0</v>
      </c>
      <c r="AA71" s="122">
        <f>+SUMIF($O$33:$O$45,Lister!$D$29,AA33:AA45)+SUMIF($O$33:$O$45,Lister!$D$30,AA33:AA45)</f>
        <v>0</v>
      </c>
      <c r="AB71" s="122">
        <f>+SUMIF($O$33:$O$45,Lister!$D$29,AB33:AB45)+SUMIF($O$33:$O$45,Lister!$D$30,AB33:AB45)</f>
        <v>0</v>
      </c>
      <c r="AC71" s="150">
        <f t="shared" ref="AC71:AC79" si="112">SUM(S71:AB71)</f>
        <v>0</v>
      </c>
      <c r="AF71" s="71"/>
      <c r="AG71" s="71"/>
      <c r="AH71" s="71"/>
      <c r="AI71" s="71"/>
      <c r="AJ71" s="71"/>
      <c r="AK71" s="71"/>
      <c r="AL71" s="71"/>
      <c r="AM71" s="71"/>
      <c r="AN71" s="71"/>
      <c r="AO71" s="71"/>
      <c r="AP71" s="71"/>
      <c r="AQ71" s="71"/>
      <c r="AR71" s="70"/>
      <c r="AS71" s="70"/>
    </row>
    <row r="72" spans="1:62" s="14" customFormat="1" ht="14.25" customHeight="1" x14ac:dyDescent="0.2">
      <c r="N72" s="70"/>
      <c r="P72" s="85"/>
      <c r="Q72" s="158" t="s">
        <v>76</v>
      </c>
      <c r="R72" s="327">
        <f t="shared" si="111"/>
        <v>3303900</v>
      </c>
      <c r="S72" s="328">
        <f>+SUM(S70:S71)</f>
        <v>0</v>
      </c>
      <c r="T72" s="328">
        <f t="shared" ref="T72" si="113">+SUM(T70:T71)</f>
        <v>931200</v>
      </c>
      <c r="U72" s="328">
        <f t="shared" ref="U72" si="114">+SUM(U70:U71)</f>
        <v>959700</v>
      </c>
      <c r="V72" s="328">
        <f t="shared" ref="V72" si="115">+SUM(V70:V71)</f>
        <v>990000</v>
      </c>
      <c r="W72" s="328">
        <f t="shared" ref="W72" si="116">+SUM(W70:W71)</f>
        <v>423000</v>
      </c>
      <c r="X72" s="329">
        <f t="shared" ref="X72" si="117">+SUM(X70:X71)</f>
        <v>0</v>
      </c>
      <c r="Y72" s="151">
        <f t="shared" ref="Y72" si="118">+SUM(Y70:Y71)</f>
        <v>0</v>
      </c>
      <c r="Z72" s="146">
        <f t="shared" ref="Z72:AB72" si="119">+SUM(Z70:Z71)</f>
        <v>0</v>
      </c>
      <c r="AA72" s="146">
        <f t="shared" si="119"/>
        <v>0</v>
      </c>
      <c r="AB72" s="146">
        <f t="shared" si="119"/>
        <v>0</v>
      </c>
      <c r="AC72" s="147">
        <f t="shared" si="112"/>
        <v>3303900</v>
      </c>
      <c r="AF72" s="71"/>
      <c r="AG72" s="71"/>
      <c r="AH72" s="71"/>
      <c r="AI72" s="71"/>
      <c r="AJ72" s="71"/>
      <c r="AK72" s="71"/>
      <c r="AL72" s="71"/>
      <c r="AM72" s="71"/>
      <c r="AN72" s="71"/>
      <c r="AO72" s="71"/>
      <c r="AP72" s="71"/>
      <c r="AQ72" s="71"/>
      <c r="AR72" s="79"/>
      <c r="AS72" s="79"/>
    </row>
    <row r="73" spans="1:62" ht="14.25" customHeight="1" x14ac:dyDescent="0.2">
      <c r="N73" s="70"/>
      <c r="O73" s="85"/>
      <c r="P73" s="85"/>
      <c r="Q73" s="158" t="s">
        <v>77</v>
      </c>
      <c r="R73" s="327">
        <f t="shared" si="111"/>
        <v>617500</v>
      </c>
      <c r="S73" s="328">
        <f>+SUMIF($O$52:$O$64,Lister!$D$29,C52:C64)+SUMIF($O$52:$O$64,Lister!$D$30,C52:C64)-SUMIFS(C52:C64,$O$52:$O$64,Lister!$D$29,$A$52:$A$64,Lister!$M$9)-SUMIFS(C52:C64,$O$52:$O$64,Lister!$D$30,$A$52:$A$64,Lister!$M$9)</f>
        <v>0</v>
      </c>
      <c r="T73" s="328">
        <f>+SUMIF($O$52:$O$64,Lister!$D$29,D52:D64)+SUMIF($O$52:$O$64,Lister!$D$30,D52:D64)-SUMIFS(D52:D64,$O$52:$O$64,Lister!$D$29,$A$52:$A$64,Lister!$M$9)-SUMIFS(D52:D64,$O$52:$O$64,Lister!$D$30,$A$52:$A$64,Lister!$M$9)</f>
        <v>145000</v>
      </c>
      <c r="U73" s="328">
        <f>+SUMIF($O$52:$O$64,Lister!$D$29,E52:E64)+SUMIF($O$52:$O$64,Lister!$D$30,E52:E64)-SUMIFS(E52:E64,$O$52:$O$64,Lister!$D$29,$A$52:$A$64,Lister!$M$9)-SUMIFS(E52:E64,$O$52:$O$64,Lister!$D$30,$A$52:$A$64,Lister!$M$9)</f>
        <v>165000</v>
      </c>
      <c r="V73" s="328">
        <f>+SUMIF($O$52:$O$64,Lister!$D$29,F52:F64)+SUMIF($O$52:$O$64,Lister!$D$30,F52:F64)-SUMIFS(F52:F64,$O$52:$O$64,Lister!$D$29,$A$52:$A$64,Lister!$M$9)-SUMIFS(F52:F64,$O$52:$O$64,Lister!$D$30,$A$52:$A$64,Lister!$M$9)</f>
        <v>145000</v>
      </c>
      <c r="W73" s="328">
        <f>+SUMIF($O$52:$O$64,Lister!$D$29,G52:G64)+SUMIF($O$52:$O$64,Lister!$D$30,G52:G64)-SUMIFS(G52:G64,$O$52:$O$64,Lister!$D$29,$A$52:$A$64,Lister!$M$9)-SUMIFS(G52:G64,$O$52:$O$64,Lister!$D$30,$A$52:$A$64,Lister!$M$9)</f>
        <v>162500</v>
      </c>
      <c r="X73" s="329">
        <f>+SUMIF($O$52:$O$64,Lister!$D$29,H52:H64)+SUMIF($O$52:$O$64,Lister!$D$30,H52:H64)-SUMIFS(H52:H64,$O$52:$O$64,Lister!$D$29,$A$52:$A$64,Lister!$M$9)-SUMIFS(H52:H64,$O$52:$O$64,Lister!$D$30,$A$52:$A$64,Lister!$M$9)</f>
        <v>0</v>
      </c>
      <c r="Y73" s="151">
        <f>+SUMIF($O$52:$O$64,Lister!$D$29,I52:I64)+SUMIF($O$52:$O$64,Lister!$D$30,I52:I64)-SUMIFS(I52:I64,$O$52:$O$64,Lister!$D$29,$A$52:$A$64,Lister!$M$9)-SUMIFS(I52:I64,$O$52:$O$64,Lister!$D$30,$A$52:$A$64,Lister!$M$9)</f>
        <v>0</v>
      </c>
      <c r="Z73" s="146">
        <f>+SUMIF($O$52:$O$64,Lister!$D$29,J52:J64)+SUMIF($O$52:$O$64,Lister!$D$30,J52:J64)-SUMIFS(J52:J64,$O$52:$O$64,Lister!$D$29,$A$52:$A$64,Lister!$M$9)-SUMIFS(J52:J64,$O$52:$O$64,Lister!$D$30,$A$52:$A$64,Lister!$M$9)</f>
        <v>0</v>
      </c>
      <c r="AA73" s="146">
        <f>+SUMIF($O$52:$O$64,Lister!$D$29,K52:K64)+SUMIF($O$52:$O$64,Lister!$D$30,K52:K64)-SUMIFS(K52:K64,$O$52:$O$64,Lister!$D$29,$A$52:$A$64,Lister!$M$9)-SUMIFS(K52:K64,$O$52:$O$64,Lister!$D$30,$A$52:$A$64,Lister!$M$9)</f>
        <v>0</v>
      </c>
      <c r="AB73" s="146">
        <f>+SUMIF($O$52:$O$64,Lister!$D$29,L52:L64)+SUMIF($O$52:$O$64,Lister!$D$30,L52:L64)-SUMIFS(L52:L64,$O$52:$O$64,Lister!$D$29,$A$52:$A$64,Lister!$M$9)-SUMIFS(L52:L64,$O$52:$O$64,Lister!$D$30,$A$52:$A$64,Lister!$M$9)</f>
        <v>0</v>
      </c>
      <c r="AC73" s="147">
        <f t="shared" si="112"/>
        <v>617500</v>
      </c>
      <c r="AF73" s="70"/>
      <c r="AG73" s="70"/>
      <c r="AH73" s="70"/>
      <c r="AI73" s="70"/>
      <c r="AJ73" s="70"/>
      <c r="AK73" s="70"/>
      <c r="AL73" s="70"/>
      <c r="AM73" s="70"/>
      <c r="AN73" s="70"/>
      <c r="AO73" s="70"/>
      <c r="AP73" s="70"/>
      <c r="AQ73" s="70"/>
      <c r="AR73" s="70"/>
      <c r="AS73" s="70"/>
    </row>
    <row r="74" spans="1:62" s="9" customFormat="1" ht="14.25" customHeight="1" x14ac:dyDescent="0.2">
      <c r="N74" s="79"/>
      <c r="O74" s="90"/>
      <c r="P74" s="90"/>
      <c r="Q74" s="158" t="s">
        <v>78</v>
      </c>
      <c r="R74" s="327">
        <f t="shared" si="111"/>
        <v>3921400</v>
      </c>
      <c r="S74" s="328">
        <f>+S72+S73</f>
        <v>0</v>
      </c>
      <c r="T74" s="328">
        <f>+T72+T73</f>
        <v>1076200</v>
      </c>
      <c r="U74" s="328">
        <f>+U72+U73</f>
        <v>1124700</v>
      </c>
      <c r="V74" s="328">
        <f t="shared" ref="V74:Z74" si="120">+V72+V73</f>
        <v>1135000</v>
      </c>
      <c r="W74" s="328">
        <f t="shared" si="120"/>
        <v>585500</v>
      </c>
      <c r="X74" s="329">
        <f t="shared" si="120"/>
        <v>0</v>
      </c>
      <c r="Y74" s="311">
        <f t="shared" si="120"/>
        <v>0</v>
      </c>
      <c r="Z74" s="146">
        <f t="shared" si="120"/>
        <v>0</v>
      </c>
      <c r="AA74" s="146">
        <f t="shared" ref="AA74:AB74" si="121">+AA72+AA73</f>
        <v>0</v>
      </c>
      <c r="AB74" s="146">
        <f t="shared" si="121"/>
        <v>0</v>
      </c>
      <c r="AC74" s="147">
        <f t="shared" si="112"/>
        <v>3921400</v>
      </c>
      <c r="AF74" s="79"/>
      <c r="AG74" s="79"/>
      <c r="AH74" s="79"/>
      <c r="AI74" s="79"/>
      <c r="AJ74" s="79"/>
      <c r="AK74" s="79"/>
      <c r="AL74" s="79"/>
      <c r="AM74" s="79"/>
      <c r="AN74" s="79"/>
      <c r="AO74" s="79"/>
      <c r="AP74" s="79"/>
      <c r="AQ74" s="79"/>
      <c r="AR74" s="71"/>
      <c r="AS74" s="71"/>
    </row>
    <row r="75" spans="1:62" ht="14.25" customHeight="1" x14ac:dyDescent="0.2">
      <c r="N75" s="70"/>
      <c r="O75" s="85"/>
      <c r="P75" s="85"/>
      <c r="Q75" s="159" t="s">
        <v>0</v>
      </c>
      <c r="R75" s="327">
        <f t="shared" si="111"/>
        <v>980350</v>
      </c>
      <c r="S75" s="162">
        <f>IF(C12=2,S72*C6/100,IF($G$6=Lister!$D$4,(S72*$C$6)/100,IF($G$6=Lister!$D$5,(S74*$C$6)/100,IF($G$6=Lister!$D$6,((S74-SUMIFS(C52:C64,$O$52:$O$64,Lister!$D$29,$A$52:$A$64,Lister!$M$10)-SUMIFS(C52:C64,$O$52:$O$64,Lister!$D$30,$A$52:$A$64,Lister!$M$10))*$C$6)/100,IF($G$6=Lister!$D$7,(S73*$C$6)/100,0)))))</f>
        <v>0</v>
      </c>
      <c r="T75" s="338">
        <f>IF(D12=2,T72*D6/100,IF($G$6=Lister!$D$4,(T72*$C$6)/100,IF($G$6=Lister!$D$5,(T74*$C$6)/100,IF($G$6=Lister!$D$6,((T74-SUMIFS(D52:D64,$O$52:$O$64,Lister!$D$29,$A$52:$A$64,Lister!$M$10)-SUMIFS(D52:D64,$O$52:$O$64,Lister!$D$30,$A$52:$A$64,Lister!$M$10))*$C$6)/100,IF($G$6=Lister!$D$7,(T73*$C$6)/100,0)))))</f>
        <v>269050</v>
      </c>
      <c r="U75" s="338">
        <f>IF(E12=2,U72*E6/100,IF($G$6=Lister!$D$4,(U72*$C$6)/100,IF($G$6=Lister!$D$5,(U74*$C$6)/100,IF($G$6=Lister!$D$6,((U74-SUMIFS(E52:E64,$O$52:$O$64,Lister!$D$29,$A$52:$A$64,Lister!$M$10)-SUMIFS(E52:E64,$O$52:$O$64,Lister!$D$30,$A$52:$A$64,Lister!$M$10))*$C$6)/100,IF($G$6=Lister!$D$7,(U73*$C$6)/100,0)))))</f>
        <v>281175</v>
      </c>
      <c r="V75" s="338">
        <f>IF(F12=2,V72*F6/100,IF($G$6=Lister!$D$4,(V72*$C$6)/100,IF($G$6=Lister!$D$5,(V74*$C$6)/100,IF($G$6=Lister!$D$6,((V74-SUMIFS(F52:F64,$O$52:$O$64,Lister!$D$29,$A$52:$A$64,Lister!$M$10)-SUMIFS(F52:F64,$O$52:$O$64,Lister!$D$30,$A$52:$A$64,Lister!$M$10))*$C$6)/100,IF($G$6=Lister!$D$7,(V73*$C$6)/100,0)))))</f>
        <v>283750</v>
      </c>
      <c r="W75" s="338">
        <f>IF(G12=2,W72*G6/100,IF($G$6=Lister!$D$4,(W72*$C$6)/100,IF($G$6=Lister!$D$5,(W74*$C$6)/100,IF($G$6=Lister!$D$6,((W74-SUMIFS(G52:G64,$O$52:$O$64,Lister!$D$29,$A$52:$A$64,Lister!$M$10)-SUMIFS(G52:G64,$O$52:$O$64,Lister!$D$30,$A$52:$A$64,Lister!$M$10))*$C$6)/100,IF($G$6=Lister!$D$7,(W73*$C$6)/100,0)))))</f>
        <v>146375</v>
      </c>
      <c r="X75" s="339">
        <f>IF(H12=2,X72*H6/100,IF($G$6=Lister!$D$4,(X72*$C$6)/100,IF($G$6=Lister!$D$5,(X74*$C$6)/100,IF($G$6=Lister!$D$6,((X74-SUMIFS(H52:H64,$O$52:$O$64,Lister!$D$29,$A$52:$A$64,Lister!$M$10)-SUMIFS(H52:H64,$O$52:$O$64,Lister!$D$30,$A$52:$A$64,Lister!$M$10))*$C$6)/100,IF($G$6=Lister!$D$7,(X73*$C$6)/100,0)))))</f>
        <v>0</v>
      </c>
      <c r="Y75" s="214">
        <f>IF(I12=2,Y72*I6/100,IF($G$6=Lister!$D$4,(Y72*$C$6)/100,IF($G$6=Lister!$D$5,(Y74*$C$6)/100,IF($G$6=Lister!$D$6,((Y74-SUMIFS(I52:I64,$O$52:$O$64,Lister!$D$29,$A$52:$A$64,Lister!$M$10)-SUMIFS(I52:I64,$O$52:$O$64,Lister!$D$30,$A$52:$A$64,Lister!$M$10))*$C$6)/100,IF($G$6=Lister!$D$7,(Y73*$C$6)/100,0)))))</f>
        <v>0</v>
      </c>
      <c r="Z75" s="213">
        <f>IF(J12=2,Z72*J6/100,IF($G$6=Lister!$D$4,(Z72*$C$6)/100,IF($G$6=Lister!$D$5,(Z74*$C$6)/100,IF($G$6=Lister!$D$6,((Z74-SUMIFS(J52:J64,$O$52:$O$64,Lister!$D$29,$A$52:$A$64,Lister!$M$10)-SUMIFS(J52:J64,$O$52:$O$64,Lister!$D$30,$A$52:$A$64,Lister!$M$10))*$C$6)/100,IF($G$6=Lister!$D$7,(Z73*$C$6)/100,0)))))</f>
        <v>0</v>
      </c>
      <c r="AA75" s="213">
        <f>IF(K12=2,AA72*K6/100,IF($G$6=Lister!$D$4,(AA72*$C$6)/100,IF($G$6=Lister!$D$5,(AA74*$C$6)/100,IF($G$6=Lister!$D$6,((AA74-SUMIFS(K52:K64,$O$52:$O$64,Lister!$D$29,$A$52:$A$64,Lister!$M$10)-SUMIFS(K52:K64,$O$52:$O$64,Lister!$D$30,$A$52:$A$64,Lister!$M$10))*$C$6)/100,IF($G$6=Lister!$D$7,(AA73*$C$6)/100,0)))))</f>
        <v>0</v>
      </c>
      <c r="AB75" s="213">
        <f>IF(L12=2,AB72*L6/100,IF($G$6=Lister!$D$4,(AB72*$C$6)/100,IF($G$6=Lister!$D$5,(AB74*$C$6)/100,IF($G$6=Lister!$D$6,((AB74-SUMIFS(L52:L64,$O$52:$O$64,Lister!$D$29,$A$52:$A$64,Lister!$M$10)-SUMIFS(L52:L64,$O$52:$O$64,Lister!$D$30,$A$52:$A$64,Lister!$M$10))*$C$6)/100,IF($G$6=Lister!$D$7,(AB73*$C$6)/100,0)))))</f>
        <v>0</v>
      </c>
      <c r="AC75" s="147">
        <f t="shared" si="112"/>
        <v>980350</v>
      </c>
      <c r="AF75" s="70"/>
      <c r="AG75" s="70"/>
      <c r="AH75" s="70"/>
      <c r="AI75" s="70"/>
      <c r="AJ75" s="70"/>
      <c r="AK75" s="70"/>
      <c r="AL75" s="70"/>
      <c r="AM75" s="70"/>
      <c r="AN75" s="70"/>
      <c r="AO75" s="70"/>
      <c r="AP75" s="70"/>
      <c r="AQ75" s="70"/>
      <c r="AR75" s="70"/>
      <c r="AS75" s="70"/>
    </row>
    <row r="76" spans="1:62" s="9" customFormat="1" ht="14.25" customHeight="1" x14ac:dyDescent="0.2">
      <c r="N76" s="71"/>
      <c r="O76" s="87"/>
      <c r="P76" s="87"/>
      <c r="Q76" s="160" t="s">
        <v>103</v>
      </c>
      <c r="R76" s="327">
        <f t="shared" si="111"/>
        <v>0</v>
      </c>
      <c r="S76" s="162">
        <f>+IF($C$8=Lister!$O$5,(SUMIF($O$20:$O$29,Lister!D29,C20:C29)+SUMIF($O$20:$O$29,Lister!D30,C20:C29))*Takstblad!C$81,0)</f>
        <v>0</v>
      </c>
      <c r="T76" s="162">
        <f>+IF($C$8=Lister!$O$5,(SUMIF($O$20:$O$29,Lister!E27,D20:D29)+SUMIF($O$20:$O$29,Lister!E28,D20:D29))*Takstblad!D$81,0)</f>
        <v>0</v>
      </c>
      <c r="U76" s="162">
        <f>+IF($C$8=Lister!$O$5,(SUMIF($O$20:$O$29,Lister!F27,E20:E29)+SUMIF($O$20:$O$29,Lister!F28,E20:E29))*Takstblad!E$81,0)</f>
        <v>0</v>
      </c>
      <c r="V76" s="162">
        <f>+IF($C$8=Lister!$O$5,(SUMIF($O$20:$O$29,Lister!G27,F20:F29)+SUMIF($O$20:$O$29,Lister!G28,F20:F29))*Takstblad!F$81,0)</f>
        <v>0</v>
      </c>
      <c r="W76" s="162">
        <f>+IF($C$8=Lister!$O$5,(SUMIF($O$20:$O$29,Lister!H27,G20:G29)+SUMIF($O$20:$O$29,Lister!H28,G20:G29))*Takstblad!G$81,0)</f>
        <v>0</v>
      </c>
      <c r="X76" s="315">
        <f>+IF($C$8=Lister!$O$5,(SUMIF($O$20:$O$29,Lister!I27,H20:H29)+SUMIF($O$20:$O$29,Lister!I28,H20:H29))*Takstblad!H$81,0)</f>
        <v>0</v>
      </c>
      <c r="Y76" s="119">
        <f>+IF($C$8=Lister!$O$5,(SUMIF($O$20:$O$29,Lister!J27,I20:I29)+SUMIF($O$20:$O$29,Lister!J28,I20:I29))*Takstblad!I$81,0)</f>
        <v>0</v>
      </c>
      <c r="Z76" s="21">
        <f>+IF($C$8=Lister!$O$5,(SUMIF($O$20:$O$29,Lister!K27,J20:J29)+SUMIF($O$20:$O$29,Lister!K28,J20:J29))*Takstblad!J$81,0)</f>
        <v>0</v>
      </c>
      <c r="AA76" s="21">
        <f>+IF($C$8=Lister!$O$5,(SUMIF($O$20:$O$29,Lister!L27,K20:K29)+SUMIF($O$20:$O$29,Lister!L28,K20:K29))*Takstblad!K$81,0)</f>
        <v>0</v>
      </c>
      <c r="AB76" s="21">
        <f>+IF($C$8=Lister!$O$5,(SUMIF($O$20:$O$29,Lister!M27,L20:L29)+SUMIF($O$20:$O$29,Lister!M28,L20:L29))*Takstblad!L$81,0)</f>
        <v>0</v>
      </c>
      <c r="AC76" s="147">
        <f t="shared" si="112"/>
        <v>0</v>
      </c>
      <c r="AF76" s="71"/>
      <c r="AG76" s="71"/>
      <c r="AH76" s="71"/>
      <c r="AI76" s="71"/>
      <c r="AJ76" s="71"/>
      <c r="AK76" s="71"/>
      <c r="AL76" s="71"/>
      <c r="AM76" s="71"/>
      <c r="AN76" s="71"/>
      <c r="AO76" s="71"/>
      <c r="AP76" s="71"/>
      <c r="AQ76" s="71"/>
      <c r="AR76" s="71"/>
      <c r="AS76" s="71"/>
    </row>
    <row r="77" spans="1:62" s="9" customFormat="1" ht="14.25" customHeight="1" x14ac:dyDescent="0.2">
      <c r="N77" s="70"/>
      <c r="O77" s="85"/>
      <c r="P77" s="85"/>
      <c r="Q77" s="160" t="s">
        <v>108</v>
      </c>
      <c r="R77" s="327">
        <f t="shared" si="111"/>
        <v>0</v>
      </c>
      <c r="S7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$29,$A$20:$A$29,Lister!$A$21)+SUMIFS(C20:C29,$O$20:$O$29,Lister!$D$29,$A$20:$A$29,Lister!$A$29)+SUMIFS(C20:C29,$O$20:$O$29,Lister!$D$29,$A$20:$A$29,Lister!$A$30)+SUMIFS(C20:C29,$O$20:$O$29,Lister!$D$29,$A$20:$A$29,Lister!$A$22)+SUMIFS(C20:C29,$O$20:$O$29,Lister!$D$29,$A$20:$A$29,Lister!$A$23)+SUMIFS(C20:C29,$O$20:$O$29,Lister!$D$29,$A$20:$A$29,Lister!$A$20))/12)*Takstblad!C$82,0)</f>
        <v>0</v>
      </c>
      <c r="T77" s="162">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$29,$A$20:$A$29,Lister!$A$21)+SUMIFS(D20:D29,$O$20:$O$29,Lister!$D$29,$A$20:$A$29,Lister!$A$29)+SUMIFS(D20:D29,$O$20:$O$29,Lister!$D$29,$A$20:$A$29,Lister!$A$30)+SUMIFS(D20:D29,$O$20:$O$29,Lister!$D$29,$A$20:$A$29,Lister!$A$22)+SUMIFS(D20:D29,$O$20:$O$29,Lister!$D$29,$A$20:$A$29,Lister!$A$23)+SUMIFS(D20:D29,$O$20:$O$29,Lister!$D$29,$A$20:$A$29,Lister!$A$20))/12)*Takstblad!D$82,0)</f>
        <v>0</v>
      </c>
      <c r="U77" s="162">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$29,$A$20:$A$29,Lister!$A$21)+SUMIFS(E20:E29,$O$20:$O$29,Lister!$D$29,$A$20:$A$29,Lister!$A$29)+SUMIFS(E20:E29,$O$20:$O$29,Lister!$D$29,$A$20:$A$29,Lister!$A$30)+SUMIFS(E20:E29,$O$20:$O$29,Lister!$D$29,$A$20:$A$29,Lister!$A$22)+SUMIFS(E20:E29,$O$20:$O$29,Lister!$D$29,$A$20:$A$29,Lister!$A$23)+SUMIFS(E20:E29,$O$20:$O$29,Lister!$D$29,$A$20:$A$29,Lister!$A$20))/12)*Takstblad!E$82,0)</f>
        <v>0</v>
      </c>
      <c r="V77" s="162">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$29,$A$20:$A$29,Lister!$A$21)+SUMIFS(F20:F29,$O$20:$O$29,Lister!$D$29,$A$20:$A$29,Lister!$A$29)+SUMIFS(F20:F29,$O$20:$O$29,Lister!$D$29,$A$20:$A$29,Lister!$A$30)+SUMIFS(F20:F29,$O$20:$O$29,Lister!$D$29,$A$20:$A$29,Lister!$A$22)+SUMIFS(F20:F29,$O$20:$O$29,Lister!$D$29,$A$20:$A$29,Lister!$A$23)+SUMIFS(F20:F29,$O$20:$O$29,Lister!$D$29,$A$20:$A$29,Lister!$A$20))/12)*Takstblad!F$82,0)</f>
        <v>0</v>
      </c>
      <c r="W77" s="162">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$29,$A$20:$A$29,Lister!$A$21)+SUMIFS(G20:G29,$O$20:$O$29,Lister!$D$29,$A$20:$A$29,Lister!$A$29)+SUMIFS(G20:G29,$O$20:$O$29,Lister!$D$29,$A$20:$A$29,Lister!$A$30)+SUMIFS(G20:G29,$O$20:$O$29,Lister!$D$29,$A$20:$A$29,Lister!$A$22)+SUMIFS(G20:G29,$O$20:$O$29,Lister!$D$29,$A$20:$A$29,Lister!$A$23)+SUMIFS(G20:G29,$O$20:$O$29,Lister!$D$29,$A$20:$A$29,Lister!$A$20))/12)*Takstblad!G$82,0)</f>
        <v>0</v>
      </c>
      <c r="X77" s="315">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$29,$A$20:$A$29,Lister!$A$21)+SUMIFS(H20:H29,$O$20:$O$29,Lister!$D$29,$A$20:$A$29,Lister!$A$29)+SUMIFS(H20:H29,$O$20:$O$29,Lister!$D$29,$A$20:$A$29,Lister!$A$30)+SUMIFS(H20:H29,$O$20:$O$29,Lister!$D$29,$A$20:$A$29,Lister!$A$22)+SUMIFS(H20:H29,$O$20:$O$29,Lister!$D$29,$A$20:$A$29,Lister!$A$23)+SUMIFS(H20:H29,$O$20:$O$29,Lister!$D$29,$A$20:$A$29,Lister!$A$20))/12)*Takstblad!H$82,0)</f>
        <v>0</v>
      </c>
      <c r="Y77" s="119">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$29,$A$20:$A$29,Lister!$A$21)+SUMIFS(I20:I29,$O$20:$O$29,Lister!$D$29,$A$20:$A$29,Lister!$A$29)+SUMIFS(I20:I29,$O$20:$O$29,Lister!$D$29,$A$20:$A$29,Lister!$A$30)+SUMIFS(I20:I29,$O$20:$O$29,Lister!$D$29,$A$20:$A$29,Lister!$A$22)+SUMIFS(I20:I29,$O$20:$O$29,Lister!$D$29,$A$20:$A$29,Lister!$A$23)+SUMIFS(I20:I29,$O$20:$O$29,Lister!$D$29,$A$20:$A$29,Lister!$A$20))/12)*Takstblad!I$82,0)</f>
        <v>0</v>
      </c>
      <c r="Z77" s="21">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$29,$A$20:$A$29,Lister!$A$21)+SUMIFS(J20:J29,$O$20:$O$29,Lister!$D$29,$A$20:$A$29,Lister!$A$29)+SUMIFS(J20:J29,$O$20:$O$29,Lister!$D$29,$A$20:$A$29,Lister!$A$30)+SUMIFS(J20:J29,$O$20:$O$29,Lister!$D$29,$A$20:$A$29,Lister!$A$22)+SUMIFS(J20:J29,$O$20:$O$29,Lister!$D$29,$A$20:$A$29,Lister!$A$23)+SUMIFS(J20:J29,$O$20:$O$29,Lister!$D$29,$A$20:$A$29,Lister!$A$20))/12)*Takstblad!J$82,0)</f>
        <v>0</v>
      </c>
      <c r="AA77" s="21">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$29,$A$20:$A$29,Lister!$A$21)+SUMIFS(K20:K29,$O$20:$O$29,Lister!$D$29,$A$20:$A$29,Lister!$A$29)+SUMIFS(K20:K29,$O$20:$O$29,Lister!$D$29,$A$20:$A$29,Lister!$A$30)+SUMIFS(K20:K29,$O$20:$O$29,Lister!$D$29,$A$20:$A$29,Lister!$A$22)+SUMIFS(K20:K29,$O$20:$O$29,Lister!$D$29,$A$20:$A$29,Lister!$A$23)+SUMIFS(K20:K29,$O$20:$O$29,Lister!$D$29,$A$20:$A$29,Lister!$A$20))/12)*Takstblad!K$82,0)</f>
        <v>0</v>
      </c>
      <c r="AB77" s="21">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$29,$A$20:$A$29,Lister!$A$21)+SUMIFS(L20:L29,$O$20:$O$29,Lister!$D$29,$A$20:$A$29,Lister!$A$29)+SUMIFS(L20:L29,$O$20:$O$29,Lister!$D$29,$A$20:$A$29,Lister!$A$30)+SUMIFS(L20:L29,$O$20:$O$29,Lister!$D$29,$A$20:$A$29,Lister!$A$22)+SUMIFS(L20:L29,$O$20:$O$29,Lister!$D$29,$A$20:$A$29,Lister!$A$23)+SUMIFS(L20:L29,$O$20:$O$29,Lister!$D$29,$A$20:$A$29,Lister!$A$20))/12)*Takstblad!L$82,0)</f>
        <v>0</v>
      </c>
      <c r="AC77" s="147">
        <f t="shared" si="112"/>
        <v>0</v>
      </c>
      <c r="AF77" s="70"/>
      <c r="AG77" s="70"/>
      <c r="AH77" s="70"/>
      <c r="AI77" s="70"/>
      <c r="AJ77" s="70"/>
      <c r="AK77" s="70"/>
      <c r="AL77" s="70"/>
      <c r="AM77" s="70"/>
      <c r="AN77" s="70"/>
      <c r="AO77" s="70"/>
      <c r="AP77" s="70"/>
      <c r="AQ77" s="70"/>
      <c r="AR77" s="71"/>
      <c r="AS77" s="71"/>
    </row>
    <row r="78" spans="1:62" ht="14.25" customHeight="1" x14ac:dyDescent="0.2">
      <c r="N78" s="71"/>
      <c r="O78" s="87"/>
      <c r="P78" s="87"/>
      <c r="Q78" s="159" t="s">
        <v>545</v>
      </c>
      <c r="R78" s="327">
        <f t="shared" si="111"/>
        <v>0</v>
      </c>
      <c r="S78" s="162" t="str">
        <f>IF($C$12=2,(SUM(S74:S77)*$C$13)/100,"0")</f>
        <v>0</v>
      </c>
      <c r="T78" s="162" t="str">
        <f t="shared" ref="T78:Z78" si="122">IF($C$12=2,(SUM(T74:T77)*$C$13)/100,"0")</f>
        <v>0</v>
      </c>
      <c r="U78" s="162" t="str">
        <f t="shared" si="122"/>
        <v>0</v>
      </c>
      <c r="V78" s="162" t="str">
        <f t="shared" si="122"/>
        <v>0</v>
      </c>
      <c r="W78" s="162" t="str">
        <f t="shared" si="122"/>
        <v>0</v>
      </c>
      <c r="X78" s="315" t="str">
        <f t="shared" si="122"/>
        <v>0</v>
      </c>
      <c r="Y78" s="163" t="str">
        <f t="shared" si="122"/>
        <v>0</v>
      </c>
      <c r="Z78" s="162" t="str">
        <f t="shared" si="122"/>
        <v>0</v>
      </c>
      <c r="AA78" s="162" t="str">
        <f t="shared" ref="AA78:AB78" si="123">IF($C$12=2,(SUM(AA74:AA77)*$C$13)/100,"0")</f>
        <v>0</v>
      </c>
      <c r="AB78" s="162" t="str">
        <f t="shared" si="123"/>
        <v>0</v>
      </c>
      <c r="AC78" s="147">
        <f t="shared" si="112"/>
        <v>0</v>
      </c>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row>
    <row r="79" spans="1:62" ht="14.25" customHeight="1" x14ac:dyDescent="0.2">
      <c r="N79" s="80"/>
      <c r="O79" s="91"/>
      <c r="P79" s="91"/>
      <c r="Q79" s="158" t="s">
        <v>101</v>
      </c>
      <c r="R79" s="327">
        <f t="shared" si="111"/>
        <v>4901750</v>
      </c>
      <c r="S79" s="328">
        <f>+SUM(S74:S78)</f>
        <v>0</v>
      </c>
      <c r="T79" s="328">
        <f t="shared" ref="T79:Z79" si="124">+SUM(T74:T78)</f>
        <v>1345250</v>
      </c>
      <c r="U79" s="328">
        <f t="shared" si="124"/>
        <v>1405875</v>
      </c>
      <c r="V79" s="328">
        <f t="shared" si="124"/>
        <v>1418750</v>
      </c>
      <c r="W79" s="328">
        <f t="shared" si="124"/>
        <v>731875</v>
      </c>
      <c r="X79" s="329">
        <f t="shared" si="124"/>
        <v>0</v>
      </c>
      <c r="Y79" s="311">
        <f t="shared" si="124"/>
        <v>0</v>
      </c>
      <c r="Z79" s="146">
        <f t="shared" si="124"/>
        <v>0</v>
      </c>
      <c r="AA79" s="146">
        <f t="shared" ref="AA79:AB79" si="125">+SUM(AA74:AA78)</f>
        <v>0</v>
      </c>
      <c r="AB79" s="146">
        <f t="shared" si="125"/>
        <v>0</v>
      </c>
      <c r="AC79" s="147">
        <f t="shared" si="112"/>
        <v>4901750</v>
      </c>
      <c r="AF79" s="70"/>
      <c r="AG79" s="70"/>
      <c r="AH79" s="70"/>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row>
    <row r="80" spans="1:62" ht="14.25" customHeight="1" x14ac:dyDescent="0.2">
      <c r="N80" s="81"/>
      <c r="O80" s="92"/>
      <c r="P80" s="92"/>
      <c r="Q80" s="141"/>
      <c r="R80" s="135"/>
      <c r="S80" s="16"/>
      <c r="T80" s="16"/>
      <c r="U80" s="16"/>
      <c r="V80" s="16"/>
      <c r="W80" s="16"/>
      <c r="X80" s="317"/>
      <c r="Y80" s="16"/>
      <c r="Z80" s="16"/>
      <c r="AA80" s="16"/>
      <c r="AB80" s="16"/>
      <c r="AC80" s="135"/>
      <c r="AF80" s="71"/>
      <c r="AG80" s="71"/>
      <c r="AH80" s="71"/>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row>
    <row r="81" spans="1:62" s="9" customFormat="1" ht="14.25" customHeight="1" x14ac:dyDescent="0.25">
      <c r="N81" s="81"/>
      <c r="O81" s="92"/>
      <c r="P81" s="92"/>
      <c r="Q81" s="139" t="s">
        <v>606</v>
      </c>
      <c r="R81" s="140"/>
      <c r="S81" s="241"/>
      <c r="T81" s="241"/>
      <c r="U81" s="241"/>
      <c r="V81" s="241"/>
      <c r="W81" s="241"/>
      <c r="X81" s="316"/>
      <c r="Y81" s="241"/>
      <c r="Z81" s="242"/>
      <c r="AA81" s="242"/>
      <c r="AB81" s="242"/>
      <c r="AC81" s="140"/>
      <c r="AF81" s="71"/>
      <c r="AG81" s="71"/>
      <c r="AH81" s="71"/>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row>
    <row r="82" spans="1:62" s="9" customFormat="1" ht="14.25" customHeight="1" x14ac:dyDescent="0.25">
      <c r="N82" s="70"/>
      <c r="O82" s="85"/>
      <c r="P82" s="85"/>
      <c r="Q82" s="143"/>
      <c r="R82" s="142"/>
      <c r="S82" s="16"/>
      <c r="T82" s="16"/>
      <c r="U82" s="16"/>
      <c r="V82" s="16"/>
      <c r="W82" s="16"/>
      <c r="X82" s="317"/>
      <c r="Y82" s="16"/>
      <c r="Z82" s="16"/>
      <c r="AA82" s="16"/>
      <c r="AB82" s="16"/>
      <c r="AC82" s="142"/>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row>
    <row r="83" spans="1:62" s="9" customFormat="1" ht="14.25" customHeight="1" x14ac:dyDescent="0.2">
      <c r="A83" s="23"/>
      <c r="B83" s="16"/>
      <c r="C83" s="16"/>
      <c r="D83" s="16"/>
      <c r="E83" s="16"/>
      <c r="F83" s="16"/>
      <c r="G83" s="16"/>
      <c r="H83" s="16"/>
      <c r="I83" s="16"/>
      <c r="J83" s="16"/>
      <c r="K83" s="16"/>
      <c r="L83" s="16"/>
      <c r="M83" s="71"/>
      <c r="N83" s="71"/>
      <c r="O83" s="87"/>
      <c r="P83" s="87"/>
      <c r="Q83" s="161" t="s">
        <v>22</v>
      </c>
      <c r="R83" s="133" t="s">
        <v>34</v>
      </c>
      <c r="S83" s="45">
        <f>+S69</f>
        <v>2025</v>
      </c>
      <c r="T83" s="8">
        <f t="shared" ref="T83:Z83" si="126">+T69</f>
        <v>2026</v>
      </c>
      <c r="U83" s="8">
        <f t="shared" si="126"/>
        <v>2027</v>
      </c>
      <c r="V83" s="8">
        <f t="shared" si="126"/>
        <v>2028</v>
      </c>
      <c r="W83" s="8">
        <f t="shared" si="126"/>
        <v>2029</v>
      </c>
      <c r="X83" s="133">
        <f t="shared" si="126"/>
        <v>2030</v>
      </c>
      <c r="Y83" s="8">
        <f t="shared" si="126"/>
        <v>2031</v>
      </c>
      <c r="Z83" s="8">
        <f t="shared" si="126"/>
        <v>2032</v>
      </c>
      <c r="AA83" s="8">
        <f t="shared" ref="AA83:AB83" si="127">+AA69</f>
        <v>2033</v>
      </c>
      <c r="AB83" s="8">
        <f t="shared" si="127"/>
        <v>2034</v>
      </c>
      <c r="AC83" s="133" t="s">
        <v>34</v>
      </c>
      <c r="AF83" s="70"/>
      <c r="AG83" s="70"/>
      <c r="AH83" s="70"/>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62" s="9" customFormat="1" ht="14.25" customHeight="1" x14ac:dyDescent="0.2">
      <c r="N84" s="71"/>
      <c r="O84" s="87"/>
      <c r="P84" s="87"/>
      <c r="Q84" s="156" t="s">
        <v>74</v>
      </c>
      <c r="R84" s="330">
        <f t="shared" ref="R84:R93" si="128">+AC84</f>
        <v>0</v>
      </c>
      <c r="S84" s="331">
        <f>+SUMIF($O$20:$O$29,Lister!$D$31,S20:S29)+SUMIF($O$20:$O$29,Lister!$D$32,S20:S29)</f>
        <v>0</v>
      </c>
      <c r="T84" s="334">
        <f>+SUMIF($O$20:$O$29,Lister!$D$31,T20:T29)+SUMIF($O$20:$O$29,Lister!$D$32,T20:T29)</f>
        <v>0</v>
      </c>
      <c r="U84" s="331">
        <f>+SUMIF($O$20:$O$29,Lister!$D$31,U20:U29)+SUMIF($O$20:$O$29,Lister!$D$32,U20:U29)</f>
        <v>0</v>
      </c>
      <c r="V84" s="334">
        <f>+SUMIF($O$20:$O$29,Lister!$D$31,V20:V29)+SUMIF($O$20:$O$29,Lister!$D$32,V20:V29)</f>
        <v>0</v>
      </c>
      <c r="W84" s="331">
        <f>+SUMIF($O$20:$O$29,Lister!$D$31,W20:W29)+SUMIF($O$20:$O$29,Lister!$D$32,W20:W29)</f>
        <v>0</v>
      </c>
      <c r="X84" s="335">
        <f>+SUMIF($O$20:$O$29,Lister!$D$31,X20:X29)+SUMIF($O$20:$O$29,Lister!$D$32,X20:X29)</f>
        <v>0</v>
      </c>
      <c r="Y84" s="309">
        <f>+SUMIF($O$20:$O$29,Lister!$D$31,Y20:Y29)+SUMIF($O$20:$O$29,Lister!$D$32,Y20:Y29)</f>
        <v>0</v>
      </c>
      <c r="Z84" s="28">
        <f>+SUMIF($O$20:$O$29,Lister!$D$31,Z20:Z29)+SUMIF($O$20:$O$29,Lister!$D$32,Z20:Z29)</f>
        <v>0</v>
      </c>
      <c r="AA84" s="28">
        <f>+SUMIF($O$20:$O$29,Lister!$D$31,AA20:AA29)+SUMIF($O$20:$O$29,Lister!$D$32,AA20:AA29)</f>
        <v>0</v>
      </c>
      <c r="AB84" s="28">
        <f>+SUMIF($O$20:$O$29,Lister!$D$31,AB20:AB29)+SUMIF($O$20:$O$29,Lister!$D$32,AB20:AB29)</f>
        <v>0</v>
      </c>
      <c r="AC84" s="149">
        <f>SUM(S84:AB84)</f>
        <v>0</v>
      </c>
      <c r="AF84" s="70"/>
      <c r="AG84" s="70"/>
      <c r="AH84" s="70"/>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row>
    <row r="85" spans="1:62" s="9" customFormat="1" ht="14.25" customHeight="1" x14ac:dyDescent="0.2">
      <c r="N85" s="71"/>
      <c r="O85" s="87"/>
      <c r="P85" s="87"/>
      <c r="Q85" s="157" t="s">
        <v>75</v>
      </c>
      <c r="R85" s="324">
        <f t="shared" si="128"/>
        <v>0</v>
      </c>
      <c r="S85" s="325">
        <f>+SUMIF($O$33:$O$45,Lister!$D$31,S33:S45)+SUMIF($O$33:$O$45,Lister!$D$32,S33:S45)</f>
        <v>0</v>
      </c>
      <c r="T85" s="336">
        <f>+SUMIF($O$33:$O$45,Lister!$D$31,T33:T45)+SUMIF($O$33:$O$45,Lister!$D$32,T33:T45)</f>
        <v>0</v>
      </c>
      <c r="U85" s="325">
        <f>+SUMIF($O$33:$O$45,Lister!$D$31,U33:U45)+SUMIF($O$33:$O$45,Lister!$D$32,U33:U45)</f>
        <v>0</v>
      </c>
      <c r="V85" s="336">
        <f>+SUMIF($O$33:$O$45,Lister!$D$31,V33:V45)+SUMIF($O$33:$O$45,Lister!$D$32,V33:V45)</f>
        <v>0</v>
      </c>
      <c r="W85" s="325">
        <f>+SUMIF($O$33:$O$45,Lister!$D$31,W33:W45)+SUMIF($O$33:$O$45,Lister!$D$32,W33:W45)</f>
        <v>0</v>
      </c>
      <c r="X85" s="337">
        <f>+SUMIF($O$33:$O$45,Lister!$D$31,X33:X45)+SUMIF($O$33:$O$45,Lister!$D$32,X33:X45)</f>
        <v>0</v>
      </c>
      <c r="Y85" s="310">
        <f>+SUMIF($O$33:$O$45,Lister!$D$31,Y33:Y45)+SUMIF($O$33:$O$45,Lister!$D$32,Y33:Y45)</f>
        <v>0</v>
      </c>
      <c r="Z85" s="122">
        <f>+SUMIF($O$33:$O$45,Lister!$D$31,Z33:Z45)+SUMIF($O$33:$O$45,Lister!$D$32,Z33:Z45)</f>
        <v>0</v>
      </c>
      <c r="AA85" s="122">
        <f>+SUMIF($O$33:$O$45,Lister!$D$31,AA33:AA45)+SUMIF($O$33:$O$45,Lister!$D$32,AA33:AA45)</f>
        <v>0</v>
      </c>
      <c r="AB85" s="122">
        <f>+SUMIF($O$33:$O$45,Lister!$D$31,AB33:AB45)+SUMIF($O$33:$O$45,Lister!$D$32,AB33:AB45)</f>
        <v>0</v>
      </c>
      <c r="AC85" s="150">
        <f t="shared" ref="AC85:AC93" si="129">SUM(S85:AB85)</f>
        <v>0</v>
      </c>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row>
    <row r="86" spans="1:62" ht="14.25" customHeight="1" x14ac:dyDescent="0.2">
      <c r="N86" s="71"/>
      <c r="O86" s="87"/>
      <c r="P86" s="87"/>
      <c r="Q86" s="158" t="s">
        <v>76</v>
      </c>
      <c r="R86" s="327">
        <f t="shared" si="128"/>
        <v>0</v>
      </c>
      <c r="S86" s="328">
        <f>+SUM(S84:S85)</f>
        <v>0</v>
      </c>
      <c r="T86" s="328">
        <f t="shared" ref="T86" si="130">+SUM(T84:T85)</f>
        <v>0</v>
      </c>
      <c r="U86" s="328">
        <f t="shared" ref="U86:Z86" si="131">+SUM(U84:U85)</f>
        <v>0</v>
      </c>
      <c r="V86" s="328">
        <f t="shared" si="131"/>
        <v>0</v>
      </c>
      <c r="W86" s="328">
        <f t="shared" si="131"/>
        <v>0</v>
      </c>
      <c r="X86" s="329">
        <f t="shared" si="131"/>
        <v>0</v>
      </c>
      <c r="Y86" s="151">
        <f t="shared" si="131"/>
        <v>0</v>
      </c>
      <c r="Z86" s="146">
        <f t="shared" si="131"/>
        <v>0</v>
      </c>
      <c r="AA86" s="146">
        <f t="shared" ref="AA86:AB86" si="132">+SUM(AA84:AA85)</f>
        <v>0</v>
      </c>
      <c r="AB86" s="146">
        <f t="shared" si="132"/>
        <v>0</v>
      </c>
      <c r="AC86" s="147">
        <f t="shared" si="129"/>
        <v>0</v>
      </c>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row>
    <row r="87" spans="1:62" s="14" customFormat="1" ht="14.25" customHeight="1" x14ac:dyDescent="0.2">
      <c r="N87" s="71"/>
      <c r="O87" s="87"/>
      <c r="P87" s="87"/>
      <c r="Q87" s="158" t="s">
        <v>77</v>
      </c>
      <c r="R87" s="327">
        <f t="shared" si="128"/>
        <v>0</v>
      </c>
      <c r="S87" s="328">
        <f>+SUMIF($O$52:$O$64,Lister!$D$31,C52:C64)+SUMIF($O$52:$O$64,Lister!$D$32,C52:C64)-SUMIFS(C52:C64,$O$52:$O$64,Lister!$D$31,$A$52:$A$64,Lister!$M$9)-SUMIFS(C52:C64,$O$52:$O$64,Lister!$D$32,$A$52:$A$64,Lister!$M$9)</f>
        <v>0</v>
      </c>
      <c r="T87" s="342">
        <f>+SUMIF($O$52:$O$64,Lister!$D$31,D52:D64)+SUMIF($O$52:$O$64,Lister!$D$32,D52:D64)-SUMIFS(D52:D64,$O$52:$O$64,Lister!$D$31,$A$52:$A$64,Lister!$M$9)-SUMIFS(D52:D64,$O$52:$O$64,Lister!$D$32,$A$52:$A$64,Lister!$M$9)</f>
        <v>0</v>
      </c>
      <c r="U87" s="342">
        <f>+SUMIF($O$52:$O$64,Lister!$D$31,E52:E64)+SUMIF($O$52:$O$64,Lister!$D$32,E52:E64)-SUMIFS(E52:E64,$O$52:$O$64,Lister!$D$31,$A$52:$A$64,Lister!$M$9)-SUMIFS(E52:E64,$O$52:$O$64,Lister!$D$32,$A$52:$A$64,Lister!$M$9)</f>
        <v>0</v>
      </c>
      <c r="V87" s="342">
        <f>+SUMIF($O$52:$O$64,Lister!$D$31,F52:F64)+SUMIF($O$52:$O$64,Lister!$D$32,F52:F64)-SUMIFS(F52:F64,$O$52:$O$64,Lister!$D$31,$A$52:$A$64,Lister!$M$9)-SUMIFS(F52:F64,$O$52:$O$64,Lister!$D$32,$A$52:$A$64,Lister!$M$9)</f>
        <v>0</v>
      </c>
      <c r="W87" s="342">
        <f>+SUMIF($O$52:$O$64,Lister!$D$31,G52:G64)+SUMIF($O$52:$O$64,Lister!$D$32,G52:G64)-SUMIFS(G52:G64,$O$52:$O$64,Lister!$D$31,$A$52:$A$64,Lister!$M$9)-SUMIFS(G52:G64,$O$52:$O$64,Lister!$D$32,$A$52:$A$64,Lister!$M$9)</f>
        <v>0</v>
      </c>
      <c r="X87" s="343">
        <f>+SUMIF($O$52:$O$64,Lister!$D$31,H52:H64)+SUMIF($O$52:$O$64,Lister!$D$32,H52:H64)-SUMIFS(H52:H64,$O$52:$O$64,Lister!$D$31,$A$52:$A$64,Lister!$M$9)-SUMIFS(H52:H64,$O$52:$O$64,Lister!$D$32,$A$52:$A$64,Lister!$M$9)</f>
        <v>0</v>
      </c>
      <c r="Y87" s="218">
        <f>+SUMIF($O$52:$O$64,Lister!$D$31,I52:I64)+SUMIF($O$52:$O$64,Lister!$D$32,I52:I64)-SUMIFS(I52:I64,$O$52:$O$64,Lister!$D$31,$A$52:$A$64,Lister!$M$9)-SUMIFS(I52:I64,$O$52:$O$64,Lister!$D$32,$A$52:$A$64,Lister!$M$9)</f>
        <v>0</v>
      </c>
      <c r="Z87" s="217">
        <f>+SUMIF($O$52:$O$64,Lister!$D$31,J52:J64)+SUMIF($O$52:$O$64,Lister!$D$32,J52:J64)-SUMIFS(J52:J64,$O$52:$O$64,Lister!$D$31,$A$52:$A$64,Lister!$M$9)-SUMIFS(J52:J64,$O$52:$O$64,Lister!$D$32,$A$52:$A$64,Lister!$M$9)</f>
        <v>0</v>
      </c>
      <c r="AA87" s="217">
        <f>+SUMIF($O$52:$O$64,Lister!$D$31,K52:K64)+SUMIF($O$52:$O$64,Lister!$D$32,K52:K64)-SUMIFS(K52:K64,$O$52:$O$64,Lister!$D$31,$A$52:$A$64,Lister!$M$9)-SUMIFS(K52:K64,$O$52:$O$64,Lister!$D$32,$A$52:$A$64,Lister!$M$9)</f>
        <v>0</v>
      </c>
      <c r="AB87" s="217">
        <f>+SUMIF($O$52:$O$64,Lister!$D$31,L52:L64)+SUMIF($O$52:$O$64,Lister!$D$32,L52:L64)-SUMIFS(L52:L64,$O$52:$O$64,Lister!$D$31,$A$52:$A$64,Lister!$M$9)-SUMIFS(L52:L64,$O$52:$O$64,Lister!$D$32,$A$52:$A$64,Lister!$M$9)</f>
        <v>0</v>
      </c>
      <c r="AC87" s="147">
        <f t="shared" si="129"/>
        <v>0</v>
      </c>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row>
    <row r="88" spans="1:62" s="9" customFormat="1" ht="14.25" customHeight="1" x14ac:dyDescent="0.2">
      <c r="N88" s="70"/>
      <c r="O88" s="85"/>
      <c r="P88" s="85"/>
      <c r="Q88" s="158" t="s">
        <v>78</v>
      </c>
      <c r="R88" s="327">
        <f t="shared" si="128"/>
        <v>0</v>
      </c>
      <c r="S88" s="328">
        <f>+S87+S86</f>
        <v>0</v>
      </c>
      <c r="T88" s="328">
        <f t="shared" ref="T88:Z88" si="133">+T87+T86</f>
        <v>0</v>
      </c>
      <c r="U88" s="328">
        <f t="shared" si="133"/>
        <v>0</v>
      </c>
      <c r="V88" s="328">
        <f t="shared" si="133"/>
        <v>0</v>
      </c>
      <c r="W88" s="328">
        <f t="shared" si="133"/>
        <v>0</v>
      </c>
      <c r="X88" s="329">
        <f t="shared" si="133"/>
        <v>0</v>
      </c>
      <c r="Y88" s="151">
        <f t="shared" si="133"/>
        <v>0</v>
      </c>
      <c r="Z88" s="146">
        <f t="shared" si="133"/>
        <v>0</v>
      </c>
      <c r="AA88" s="146">
        <f t="shared" ref="AA88:AB88" si="134">+AA87+AA86</f>
        <v>0</v>
      </c>
      <c r="AB88" s="146">
        <f t="shared" si="134"/>
        <v>0</v>
      </c>
      <c r="AC88" s="147">
        <f t="shared" si="129"/>
        <v>0</v>
      </c>
      <c r="AF88" s="71"/>
      <c r="AG88" s="71"/>
      <c r="AH88" s="71"/>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row>
    <row r="89" spans="1:62" s="9" customFormat="1" ht="14.25" customHeight="1" x14ac:dyDescent="0.2">
      <c r="N89" s="79"/>
      <c r="O89" s="90"/>
      <c r="P89" s="90"/>
      <c r="Q89" s="159" t="s">
        <v>0</v>
      </c>
      <c r="R89" s="327">
        <f t="shared" si="128"/>
        <v>0</v>
      </c>
      <c r="S89" s="162">
        <f>IF(C12=2,S86*C6/100,IF($G$6=Lister!$D$4,(S86*$C$6)/100,IF($G$6=Lister!$D$5,(S88*$C$6)/100,IF($G$6=Lister!$D$6,((S88-SUMIFS(C52:C64,$O$52:$O$64,Lister!$D$31,$A$52:$A$64,Lister!$M$10)-SUMIFS(C52:C64,$O$52:$O$64,Lister!$D$32,$A$52:$A$64,Lister!$M$10))*$C$6)/100,IF($G$6=Lister!$D$7,(S87*$C$6)/100,0)))))</f>
        <v>0</v>
      </c>
      <c r="T89" s="338">
        <f>IF(D12=2,T86*D6/100,IF($G$6=Lister!$D$4,(T86*$C$6)/100,IF($G$6=Lister!$D$5,(T88*$C$6)/100,IF($G$6=Lister!$D$6,((T88-SUMIFS(D52:D64,$O$52:$O$64,Lister!$D$31,$A$52:$A$64,Lister!$M$10)-SUMIFS(D52:D64,$O$52:$O$64,Lister!$D$32,$A$52:$A$64,Lister!$M$10))*$C$6)/100,IF($G$6=Lister!$D$7,(T87*$C$6)/100,0)))))</f>
        <v>0</v>
      </c>
      <c r="U89" s="338">
        <f>IF(E12=2,U86*E6/100,IF($G$6=Lister!$D$4,(U86*$C$6)/100,IF($G$6=Lister!$D$5,(U88*$C$6)/100,IF($G$6=Lister!$D$6,((U88-SUMIFS(E52:E64,$O$52:$O$64,Lister!$D$31,$A$52:$A$64,Lister!$M$10)-SUMIFS(E52:E64,$O$52:$O$64,Lister!$D$32,$A$52:$A$64,Lister!$M$10))*$C$6)/100,IF($G$6=Lister!$D$7,(U87*$C$6)/100,0)))))</f>
        <v>0</v>
      </c>
      <c r="V89" s="338">
        <f>IF(F12=2,V86*F6/100,IF($G$6=Lister!$D$4,(V86*$C$6)/100,IF($G$6=Lister!$D$5,(V88*$C$6)/100,IF($G$6=Lister!$D$6,((V88-SUMIFS(F52:F64,$O$52:$O$64,Lister!$D$31,$A$52:$A$64,Lister!$M$10)-SUMIFS(F52:F64,$O$52:$O$64,Lister!$D$32,$A$52:$A$64,Lister!$M$10))*$C$6)/100,IF($G$6=Lister!$D$7,(V87*$C$6)/100,0)))))</f>
        <v>0</v>
      </c>
      <c r="W89" s="338">
        <f>IF(G12=2,W86*G6/100,IF($G$6=Lister!$D$4,(W86*$C$6)/100,IF($G$6=Lister!$D$5,(W88*$C$6)/100,IF($G$6=Lister!$D$6,((W88-SUMIFS(G52:G64,$O$52:$O$64,Lister!$D$31,$A$52:$A$64,Lister!$M$10)-SUMIFS(G52:G64,$O$52:$O$64,Lister!$D$32,$A$52:$A$64,Lister!$M$10))*$C$6)/100,IF($G$6=Lister!$D$7,(W87*$C$6)/100,0)))))</f>
        <v>0</v>
      </c>
      <c r="X89" s="339">
        <f>IF(H12=2,X86*H6/100,IF($G$6=Lister!$D$4,(X86*$C$6)/100,IF($G$6=Lister!$D$5,(X88*$C$6)/100,IF($G$6=Lister!$D$6,((X88-SUMIFS(H52:H64,$O$52:$O$64,Lister!$D$31,$A$52:$A$64,Lister!$M$10)-SUMIFS(H52:H64,$O$52:$O$64,Lister!$D$32,$A$52:$A$64,Lister!$M$10))*$C$6)/100,IF($G$6=Lister!$D$7,(X87*$C$6)/100,0)))))</f>
        <v>0</v>
      </c>
      <c r="Y89" s="214">
        <f>IF(I12=2,Y86*I6/100,IF($G$6=Lister!$D$4,(Y86*$C$6)/100,IF($G$6=Lister!$D$5,(Y88*$C$6)/100,IF($G$6=Lister!$D$6,((Y88-SUMIFS(I52:I64,$O$52:$O$64,Lister!$D$31,$A$52:$A$64,Lister!$M$10)-SUMIFS(I52:I64,$O$52:$O$64,Lister!$D$32,$A$52:$A$64,Lister!$M$10))*$C$6)/100,IF($G$6=Lister!$D$7,(Y87*$C$6)/100,0)))))</f>
        <v>0</v>
      </c>
      <c r="Z89" s="213">
        <f>IF(J12=2,Z86*J6/100,IF($G$6=Lister!$D$4,(Z86*$C$6)/100,IF($G$6=Lister!$D$5,(Z88*$C$6)/100,IF($G$6=Lister!$D$6,((Z88-SUMIFS(J52:J64,$O$52:$O$64,Lister!$D$31,$A$52:$A$64,Lister!$M$10)-SUMIFS(J52:J64,$O$52:$O$64,Lister!$D$32,$A$52:$A$64,Lister!$M$10))*$C$6)/100,IF($G$6=Lister!$D$7,(Z87*$C$6)/100,0)))))</f>
        <v>0</v>
      </c>
      <c r="AA89" s="213">
        <f>IF(K12=2,AA86*K6/100,IF($G$6=Lister!$D$4,(AA86*$C$6)/100,IF($G$6=Lister!$D$5,(AA88*$C$6)/100,IF($G$6=Lister!$D$6,((AA88-SUMIFS(K52:K64,$O$52:$O$64,Lister!$D$31,$A$52:$A$64,Lister!$M$10)-SUMIFS(K52:K64,$O$52:$O$64,Lister!$D$32,$A$52:$A$64,Lister!$M$10))*$C$6)/100,IF($G$6=Lister!$D$7,(AA87*$C$6)/100,0)))))</f>
        <v>0</v>
      </c>
      <c r="AB89" s="213">
        <f>IF(L12=2,AB86*L6/100,IF($G$6=Lister!$D$4,(AB86*$C$6)/100,IF($G$6=Lister!$D$5,(AB88*$C$6)/100,IF($G$6=Lister!$D$6,((AB88-SUMIFS(L52:L64,$O$52:$O$64,Lister!$D$31,$A$52:$A$64,Lister!$M$10)-SUMIFS(L52:L64,$O$52:$O$64,Lister!$D$32,$A$52:$A$64,Lister!$M$10))*$C$6)/100,IF($G$6=Lister!$D$7,(AB87*$C$6)/100,0)))))</f>
        <v>0</v>
      </c>
      <c r="AC89" s="147">
        <f t="shared" si="129"/>
        <v>0</v>
      </c>
      <c r="AF89" s="71"/>
      <c r="AG89" s="71"/>
      <c r="AH89" s="71"/>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row>
    <row r="90" spans="1:62" s="9" customFormat="1" ht="14.25" customHeight="1" x14ac:dyDescent="0.2">
      <c r="N90" s="71"/>
      <c r="O90" s="87"/>
      <c r="P90" s="87"/>
      <c r="Q90" s="160" t="s">
        <v>103</v>
      </c>
      <c r="R90" s="327">
        <f t="shared" si="128"/>
        <v>0</v>
      </c>
      <c r="S90" s="162">
        <f>+IF($C$8=Lister!$O$5,(SUMIF($O$20:$O$29,Lister!D31,C20:C29)+SUMIF($O$20:$O$29,Lister!D32,C20:C29))*Takstblad!C$81,0)</f>
        <v>0</v>
      </c>
      <c r="T90" s="162">
        <f>+IF($C$8=Lister!$O$5,(SUMIF($O$20:$O$29,Lister!E29,D20:D29)+SUMIF($O$20:$O$29,Lister!E30,D20:D29))*Takstblad!D$81,0)</f>
        <v>0</v>
      </c>
      <c r="U90" s="162">
        <f>+IF($C$8=Lister!$O$5,(SUMIF($O$20:$O$29,Lister!F29,E20:E29)+SUMIF($O$20:$O$29,Lister!F30,E20:E29))*Takstblad!E$81,0)</f>
        <v>0</v>
      </c>
      <c r="V90" s="162">
        <f>+IF($C$8=Lister!$O$5,(SUMIF($O$20:$O$29,Lister!G29,F20:F29)+SUMIF($O$20:$O$29,Lister!G30,F20:F29))*Takstblad!F$81,0)</f>
        <v>0</v>
      </c>
      <c r="W90" s="162">
        <f>+IF($C$8=Lister!$O$5,(SUMIF($O$20:$O$29,Lister!H29,G20:G29)+SUMIF($O$20:$O$29,Lister!H30,G20:G29))*Takstblad!G$81,0)</f>
        <v>0</v>
      </c>
      <c r="X90" s="315">
        <f>+IF($C$8=Lister!$O$5,(SUMIF($O$20:$O$29,Lister!I29,H20:H29)+SUMIF($O$20:$O$29,Lister!I30,H20:H29))*Takstblad!H$81,0)</f>
        <v>0</v>
      </c>
      <c r="Y90" s="119">
        <f>+IF($C$8=Lister!$O$5,(SUMIF($O$20:$O$29,Lister!J29,I20:I29)+SUMIF($O$20:$O$29,Lister!J30,I20:I29))*Takstblad!I$81,0)</f>
        <v>0</v>
      </c>
      <c r="Z90" s="21">
        <f>+IF($C$8=Lister!$O$5,(SUMIF($O$20:$O$29,Lister!K29,J20:J29)+SUMIF($O$20:$O$29,Lister!K30,J20:J29))*Takstblad!J$81,0)</f>
        <v>0</v>
      </c>
      <c r="AA90" s="21">
        <f>+IF($C$8=Lister!$O$5,(SUMIF($O$20:$O$29,Lister!L29,K20:K29)+SUMIF($O$20:$O$29,Lister!L30,K20:K29))*Takstblad!K$81,0)</f>
        <v>0</v>
      </c>
      <c r="AB90" s="21">
        <f>+IF($C$8=Lister!$O$5,(SUMIF($O$20:$O$29,Lister!M29,L20:L29)+SUMIF($O$20:$O$29,Lister!M30,L20:L29))*Takstblad!L$81,0)</f>
        <v>0</v>
      </c>
      <c r="AC90" s="147">
        <f t="shared" si="129"/>
        <v>0</v>
      </c>
      <c r="AF90" s="70"/>
      <c r="AG90" s="70"/>
      <c r="AH90" s="70"/>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row>
    <row r="91" spans="1:62" s="9" customFormat="1" ht="14.25" customHeight="1" x14ac:dyDescent="0.2">
      <c r="N91" s="71"/>
      <c r="O91" s="87"/>
      <c r="P91" s="87"/>
      <c r="Q91" s="160" t="s">
        <v>108</v>
      </c>
      <c r="R91" s="327">
        <f t="shared" si="128"/>
        <v>0</v>
      </c>
      <c r="S91" s="162"/>
      <c r="T91" s="162"/>
      <c r="U91" s="162"/>
      <c r="V91" s="162"/>
      <c r="W91" s="162"/>
      <c r="X91" s="315"/>
      <c r="Y91" s="119"/>
      <c r="Z91" s="21"/>
      <c r="AA91" s="21"/>
      <c r="AB91" s="21"/>
      <c r="AC91" s="147">
        <f t="shared" si="129"/>
        <v>0</v>
      </c>
      <c r="AF91" s="79"/>
      <c r="AG91" s="79"/>
      <c r="AH91" s="79"/>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row>
    <row r="92" spans="1:62" s="9" customFormat="1" ht="14.25" customHeight="1" x14ac:dyDescent="0.2">
      <c r="N92" s="71"/>
      <c r="O92" s="87"/>
      <c r="P92" s="87"/>
      <c r="Q92" s="159" t="s">
        <v>545</v>
      </c>
      <c r="R92" s="327">
        <f t="shared" si="128"/>
        <v>0</v>
      </c>
      <c r="S92" s="162" t="str">
        <f>IF($C$12=2,(SUM(S88:S91)*$C$13)/100,"0")</f>
        <v>0</v>
      </c>
      <c r="T92" s="162" t="str">
        <f t="shared" ref="T92:Z92" si="135">IF($C$12=2,(SUM(T88:T91)*$C$13)/100,"0")</f>
        <v>0</v>
      </c>
      <c r="U92" s="162" t="str">
        <f t="shared" si="135"/>
        <v>0</v>
      </c>
      <c r="V92" s="162" t="str">
        <f t="shared" si="135"/>
        <v>0</v>
      </c>
      <c r="W92" s="162" t="str">
        <f t="shared" si="135"/>
        <v>0</v>
      </c>
      <c r="X92" s="315" t="str">
        <f t="shared" si="135"/>
        <v>0</v>
      </c>
      <c r="Y92" s="163" t="str">
        <f t="shared" si="135"/>
        <v>0</v>
      </c>
      <c r="Z92" s="162" t="str">
        <f t="shared" si="135"/>
        <v>0</v>
      </c>
      <c r="AA92" s="162" t="str">
        <f t="shared" ref="AA92:AB92" si="136">IF($C$12=2,(SUM(AA88:AA91)*$C$13)/100,"0")</f>
        <v>0</v>
      </c>
      <c r="AB92" s="162" t="str">
        <f t="shared" si="136"/>
        <v>0</v>
      </c>
      <c r="AC92" s="147">
        <f t="shared" si="129"/>
        <v>0</v>
      </c>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row>
    <row r="93" spans="1:62" s="9" customFormat="1" ht="14.25" customHeight="1" x14ac:dyDescent="0.2">
      <c r="N93" s="71"/>
      <c r="O93" s="87"/>
      <c r="P93" s="87"/>
      <c r="Q93" s="158" t="s">
        <v>101</v>
      </c>
      <c r="R93" s="327">
        <f t="shared" si="128"/>
        <v>0</v>
      </c>
      <c r="S93" s="328">
        <f>+SUM(S88:S92)</f>
        <v>0</v>
      </c>
      <c r="T93" s="328">
        <f t="shared" ref="T93:Z93" si="137">+SUM(T88:T92)</f>
        <v>0</v>
      </c>
      <c r="U93" s="328">
        <f t="shared" si="137"/>
        <v>0</v>
      </c>
      <c r="V93" s="328">
        <f t="shared" si="137"/>
        <v>0</v>
      </c>
      <c r="W93" s="328">
        <f t="shared" si="137"/>
        <v>0</v>
      </c>
      <c r="X93" s="329">
        <f t="shared" si="137"/>
        <v>0</v>
      </c>
      <c r="Y93" s="311">
        <f t="shared" si="137"/>
        <v>0</v>
      </c>
      <c r="Z93" s="146">
        <f t="shared" si="137"/>
        <v>0</v>
      </c>
      <c r="AA93" s="146">
        <f t="shared" ref="AA93:AB93" si="138">+SUM(AA88:AA92)</f>
        <v>0</v>
      </c>
      <c r="AB93" s="146">
        <f t="shared" si="138"/>
        <v>0</v>
      </c>
      <c r="AC93" s="147">
        <f t="shared" si="129"/>
        <v>0</v>
      </c>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238"/>
      <c r="R94" s="239"/>
      <c r="S94" s="23"/>
      <c r="X94" s="239"/>
      <c r="AC94" s="239"/>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5">
      <c r="N95" s="71"/>
      <c r="O95" s="87"/>
      <c r="P95" s="87"/>
      <c r="Q95" s="139" t="s">
        <v>152</v>
      </c>
      <c r="R95" s="140"/>
      <c r="S95" s="241"/>
      <c r="T95" s="241"/>
      <c r="U95" s="241"/>
      <c r="V95" s="241"/>
      <c r="W95" s="241"/>
      <c r="X95" s="316"/>
      <c r="Y95" s="241"/>
      <c r="Z95" s="242"/>
      <c r="AA95" s="242"/>
      <c r="AB95" s="242"/>
      <c r="AC95" s="140"/>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s="9" customFormat="1" ht="14.25" customHeight="1" x14ac:dyDescent="0.25">
      <c r="N96" s="71"/>
      <c r="O96" s="87"/>
      <c r="P96" s="87"/>
      <c r="Q96" s="143"/>
      <c r="R96" s="142"/>
      <c r="S96" s="16"/>
      <c r="T96" s="16"/>
      <c r="U96" s="16"/>
      <c r="V96" s="16"/>
      <c r="W96" s="16"/>
      <c r="X96" s="317"/>
      <c r="Y96" s="16"/>
      <c r="Z96" s="16"/>
      <c r="AA96" s="16"/>
      <c r="AB96" s="16"/>
      <c r="AC96" s="142"/>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62" s="9" customFormat="1" ht="14.25" customHeight="1" x14ac:dyDescent="0.2">
      <c r="N97" s="71"/>
      <c r="O97" s="87"/>
      <c r="P97" s="87"/>
      <c r="Q97" s="161" t="s">
        <v>22</v>
      </c>
      <c r="R97" s="133" t="s">
        <v>34</v>
      </c>
      <c r="S97" s="45">
        <f>+S83</f>
        <v>2025</v>
      </c>
      <c r="T97" s="8">
        <f t="shared" ref="T97:Z97" si="139">+T83</f>
        <v>2026</v>
      </c>
      <c r="U97" s="8">
        <f t="shared" si="139"/>
        <v>2027</v>
      </c>
      <c r="V97" s="8">
        <f t="shared" si="139"/>
        <v>2028</v>
      </c>
      <c r="W97" s="8">
        <f t="shared" si="139"/>
        <v>2029</v>
      </c>
      <c r="X97" s="133">
        <f t="shared" si="139"/>
        <v>2030</v>
      </c>
      <c r="Y97" s="8">
        <f t="shared" si="139"/>
        <v>2031</v>
      </c>
      <c r="Z97" s="8">
        <f t="shared" si="139"/>
        <v>2032</v>
      </c>
      <c r="AA97" s="8">
        <f t="shared" ref="AA97:AB97" si="140">+AA83</f>
        <v>2033</v>
      </c>
      <c r="AB97" s="8">
        <f t="shared" si="140"/>
        <v>2034</v>
      </c>
      <c r="AC97" s="133" t="s">
        <v>34</v>
      </c>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62" s="9" customFormat="1" ht="14.25" customHeight="1" x14ac:dyDescent="0.2">
      <c r="N98" s="71"/>
      <c r="O98" s="87"/>
      <c r="P98" s="87"/>
      <c r="Q98" s="156" t="s">
        <v>74</v>
      </c>
      <c r="R98" s="330">
        <f t="shared" ref="R98:R107" si="141">+AC98</f>
        <v>1617900</v>
      </c>
      <c r="S98" s="331">
        <f>+SUMIF($O$20:$O$29,Lister!$D$30,S$20:S$29)</f>
        <v>0</v>
      </c>
      <c r="T98" s="334">
        <f>+SUMIF($O$20:$O$29,Lister!$D$30,T$20:T$29)</f>
        <v>386400</v>
      </c>
      <c r="U98" s="331">
        <f>+SUMIF($O$20:$O$29,Lister!$D$30,U$20:U$29)</f>
        <v>398100</v>
      </c>
      <c r="V98" s="334">
        <f>+SUMIF($O$20:$O$29,Lister!$D$30,V$20:V$29)</f>
        <v>410400</v>
      </c>
      <c r="W98" s="331">
        <f>+SUMIF($O$20:$O$29,Lister!$D$30,W$20:W$29)</f>
        <v>423000</v>
      </c>
      <c r="X98" s="335">
        <f>+SUMIF($O$20:$O$29,Lister!$D$30,X$20:X$29)</f>
        <v>0</v>
      </c>
      <c r="Y98" s="309">
        <f>+SUMIF($O$20:$O$29,Lister!$D$30,Y$20:Y$29)</f>
        <v>0</v>
      </c>
      <c r="Z98" s="28">
        <f>+SUMIF($O$20:$O$29,Lister!$D$30,Z$20:Z$29)</f>
        <v>0</v>
      </c>
      <c r="AA98" s="28">
        <f>+SUMIF($O$20:$O$29,Lister!$D$30,AA$20:AA$29)</f>
        <v>0</v>
      </c>
      <c r="AB98" s="28">
        <f>+SUMIF($O$20:$O$29,Lister!$D$30,AB$20:AB$29)</f>
        <v>0</v>
      </c>
      <c r="AC98" s="149">
        <f>SUM(S98:AB98)</f>
        <v>1617900</v>
      </c>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row>
    <row r="99" spans="1:62" s="9" customFormat="1" ht="14.25" customHeight="1" x14ac:dyDescent="0.2">
      <c r="N99" s="71"/>
      <c r="O99" s="87"/>
      <c r="P99" s="87"/>
      <c r="Q99" s="157" t="s">
        <v>75</v>
      </c>
      <c r="R99" s="324">
        <f t="shared" si="141"/>
        <v>0</v>
      </c>
      <c r="S99" s="325">
        <f>+SUMIF($O$33:$O$45,Lister!$D$30,S$33:S$45)</f>
        <v>0</v>
      </c>
      <c r="T99" s="336">
        <f>+SUMIF($O$33:$O$45,Lister!$D$30,T$33:T$45)</f>
        <v>0</v>
      </c>
      <c r="U99" s="325">
        <f>+SUMIF($O$33:$O$45,Lister!$D$30,U$33:U$45)</f>
        <v>0</v>
      </c>
      <c r="V99" s="336">
        <f>+SUMIF($O$33:$O$45,Lister!$D$30,V$33:V$45)</f>
        <v>0</v>
      </c>
      <c r="W99" s="325">
        <f>+SUMIF($O$33:$O$45,Lister!$D$30,W$33:W$45)</f>
        <v>0</v>
      </c>
      <c r="X99" s="337">
        <f>+SUMIF($O$33:$O$45,Lister!$D$30,X$33:X$45)</f>
        <v>0</v>
      </c>
      <c r="Y99" s="310">
        <f>+SUMIF($O$33:$O$45,Lister!$D$30,Y$33:Y$45)</f>
        <v>0</v>
      </c>
      <c r="Z99" s="122">
        <f>+SUMIF($O$33:$O$45,Lister!$D$30,Z$33:Z$45)</f>
        <v>0</v>
      </c>
      <c r="AA99" s="122">
        <f>+SUMIF($O$33:$O$45,Lister!$D$30,AA$33:AA$45)</f>
        <v>0</v>
      </c>
      <c r="AB99" s="122">
        <f>+SUMIF($O$33:$O$45,Lister!$D$30,AB$33:AB$45)</f>
        <v>0</v>
      </c>
      <c r="AC99" s="150">
        <f t="shared" ref="AC99:AC107" si="142">SUM(S99:AB99)</f>
        <v>0</v>
      </c>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row>
    <row r="100" spans="1:62" s="9" customFormat="1" ht="14.25" customHeight="1" x14ac:dyDescent="0.2">
      <c r="N100" s="71"/>
      <c r="O100" s="87"/>
      <c r="P100" s="87"/>
      <c r="Q100" s="158" t="s">
        <v>76</v>
      </c>
      <c r="R100" s="327">
        <f t="shared" si="141"/>
        <v>1617900</v>
      </c>
      <c r="S100" s="328">
        <f>+SUM(S98:S99)</f>
        <v>0</v>
      </c>
      <c r="T100" s="328">
        <f t="shared" ref="T100:Z100" si="143">+SUM(T98:T99)</f>
        <v>386400</v>
      </c>
      <c r="U100" s="328">
        <f t="shared" si="143"/>
        <v>398100</v>
      </c>
      <c r="V100" s="328">
        <f t="shared" si="143"/>
        <v>410400</v>
      </c>
      <c r="W100" s="328">
        <f t="shared" si="143"/>
        <v>423000</v>
      </c>
      <c r="X100" s="329">
        <f t="shared" si="143"/>
        <v>0</v>
      </c>
      <c r="Y100" s="151">
        <f t="shared" si="143"/>
        <v>0</v>
      </c>
      <c r="Z100" s="146">
        <f t="shared" si="143"/>
        <v>0</v>
      </c>
      <c r="AA100" s="146">
        <f t="shared" ref="AA100:AB100" si="144">+SUM(AA98:AA99)</f>
        <v>0</v>
      </c>
      <c r="AB100" s="146">
        <f t="shared" si="144"/>
        <v>0</v>
      </c>
      <c r="AC100" s="147">
        <f t="shared" si="142"/>
        <v>1617900</v>
      </c>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62" s="9" customFormat="1" ht="14.25" customHeight="1" x14ac:dyDescent="0.2">
      <c r="N101" s="71"/>
      <c r="O101" s="87"/>
      <c r="P101" s="87"/>
      <c r="Q101" s="158" t="s">
        <v>77</v>
      </c>
      <c r="R101" s="327">
        <f t="shared" si="141"/>
        <v>0</v>
      </c>
      <c r="S101" s="328">
        <f>+SUMIF($O$52:$O$64,Lister!$D$30,C$52:C$64)</f>
        <v>0</v>
      </c>
      <c r="T101" s="342">
        <f>+SUMIF($O$52:$O$64,Lister!$D$30,D$52:D$64)</f>
        <v>0</v>
      </c>
      <c r="U101" s="342">
        <f>+SUMIF($O$52:$O$64,Lister!$D$30,E$52:E$64)</f>
        <v>0</v>
      </c>
      <c r="V101" s="342">
        <f>+SUMIF($O$52:$O$64,Lister!$D$30,F$52:F$64)</f>
        <v>0</v>
      </c>
      <c r="W101" s="342">
        <f>+SUMIF($O$52:$O$64,Lister!$D$30,G$52:G$64)</f>
        <v>0</v>
      </c>
      <c r="X101" s="343">
        <f>+SUMIF($O$52:$O$64,Lister!$D$30,H$52:H$64)</f>
        <v>0</v>
      </c>
      <c r="Y101" s="218">
        <f>+SUMIF($O$52:$O$64,Lister!$D$30,I$52:I$64)</f>
        <v>0</v>
      </c>
      <c r="Z101" s="217">
        <f>+SUMIF($O$52:$O$64,Lister!$D$30,J$52:J$64)</f>
        <v>0</v>
      </c>
      <c r="AA101" s="217">
        <f>+SUMIF($O$52:$O$64,Lister!$D$30,K$52:K$64)</f>
        <v>0</v>
      </c>
      <c r="AB101" s="217">
        <f>+SUMIF($O$52:$O$64,Lister!$D$30,L$52:L$64)</f>
        <v>0</v>
      </c>
      <c r="AC101" s="147">
        <f t="shared" si="142"/>
        <v>0</v>
      </c>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62" s="9" customFormat="1" ht="14.25" customHeight="1" x14ac:dyDescent="0.2">
      <c r="N102" s="70"/>
      <c r="O102" s="85"/>
      <c r="P102" s="85"/>
      <c r="Q102" s="158" t="s">
        <v>78</v>
      </c>
      <c r="R102" s="327">
        <f t="shared" si="141"/>
        <v>1617900</v>
      </c>
      <c r="S102" s="328">
        <f>+S101+S100</f>
        <v>0</v>
      </c>
      <c r="T102" s="328">
        <f t="shared" ref="T102:Z102" si="145">+T101+T100</f>
        <v>386400</v>
      </c>
      <c r="U102" s="328">
        <f t="shared" si="145"/>
        <v>398100</v>
      </c>
      <c r="V102" s="328">
        <f t="shared" si="145"/>
        <v>410400</v>
      </c>
      <c r="W102" s="328">
        <f t="shared" si="145"/>
        <v>423000</v>
      </c>
      <c r="X102" s="329">
        <f t="shared" si="145"/>
        <v>0</v>
      </c>
      <c r="Y102" s="151">
        <f t="shared" si="145"/>
        <v>0</v>
      </c>
      <c r="Z102" s="146">
        <f t="shared" si="145"/>
        <v>0</v>
      </c>
      <c r="AA102" s="146">
        <f t="shared" ref="AA102:AB102" si="146">+AA101+AA100</f>
        <v>0</v>
      </c>
      <c r="AB102" s="146">
        <f t="shared" si="146"/>
        <v>0</v>
      </c>
      <c r="AC102" s="147">
        <f t="shared" si="142"/>
        <v>1617900</v>
      </c>
      <c r="AD102" s="71"/>
      <c r="AE102" s="71"/>
      <c r="AF102" s="71"/>
      <c r="AG102" s="71"/>
      <c r="AH102" s="71"/>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row>
    <row r="103" spans="1:62" s="9" customFormat="1" ht="14.25" customHeight="1" x14ac:dyDescent="0.2">
      <c r="N103" s="79"/>
      <c r="O103" s="90"/>
      <c r="P103" s="90"/>
      <c r="Q103" s="159" t="s">
        <v>0</v>
      </c>
      <c r="R103" s="327">
        <f t="shared" si="141"/>
        <v>404475</v>
      </c>
      <c r="S103" s="162">
        <f>IF(C12=2,S100*C6/100,IF($G$6=Lister!$D$4,(S100*$C$6)/100,IF($G$6=Lister!$D$5,(S102*$C$6)/100,IF($G$6=Lister!$D$6,((S102-SUMIFS(C52:C64,$O$52:$O$64,Lister!$D$30,$A$52:$A$64,Lister!$M$10))*$C$6)/100,IF($G$6=Lister!$D$7,(S101*$C$6)/100,0)))))</f>
        <v>0</v>
      </c>
      <c r="T103" s="338">
        <f>IF(D12=2,T100*D6/100,IF($G$6=Lister!$D$4,(T100*$C$6)/100,IF($G$6=Lister!$D$5,(T102*$C$6)/100,IF($G$6=Lister!$D$6,((T102-SUMIFS(D52:D64,$O$52:$O$64,Lister!$D$30,$A$52:$A$64,Lister!$M$10))*$C$6)/100,IF($G$6=Lister!$D$7,(T101*$C$6)/100,0)))))</f>
        <v>96600</v>
      </c>
      <c r="U103" s="338">
        <f>IF(E12=2,U100*E6/100,IF($G$6=Lister!$D$4,(U100*$C$6)/100,IF($G$6=Lister!$D$5,(U102*$C$6)/100,IF($G$6=Lister!$D$6,((U102-SUMIFS(E52:E64,$O$52:$O$64,Lister!$D$30,$A$52:$A$64,Lister!$M$10))*$C$6)/100,IF($G$6=Lister!$D$7,(U101*$C$6)/100,0)))))</f>
        <v>99525</v>
      </c>
      <c r="V103" s="338">
        <f>IF(F12=2,V100*F6/100,IF($G$6=Lister!$D$4,(V100*$C$6)/100,IF($G$6=Lister!$D$5,(V102*$C$6)/100,IF($G$6=Lister!$D$6,((V102-SUMIFS(F52:F64,$O$52:$O$64,Lister!$D$30,$A$52:$A$64,Lister!$M$10))*$C$6)/100,IF($G$6=Lister!$D$7,(V101*$C$6)/100,0)))))</f>
        <v>102600</v>
      </c>
      <c r="W103" s="338">
        <f>IF(G12=2,W100*G6/100,IF($G$6=Lister!$D$4,(W100*$C$6)/100,IF($G$6=Lister!$D$5,(W102*$C$6)/100,IF($G$6=Lister!$D$6,((W102-SUMIFS(G52:G64,$O$52:$O$64,Lister!$D$30,$A$52:$A$64,Lister!$M$10))*$C$6)/100,IF($G$6=Lister!$D$7,(W101*$C$6)/100,0)))))</f>
        <v>105750</v>
      </c>
      <c r="X103" s="339">
        <f>IF(H12=2,X100*H6/100,IF($G$6=Lister!$D$4,(X100*$C$6)/100,IF($G$6=Lister!$D$5,(X102*$C$6)/100,IF($G$6=Lister!$D$6,((X102-SUMIFS(H52:H64,$O$52:$O$64,Lister!$D$30,$A$52:$A$64,Lister!$M$10))*$C$6)/100,IF($G$6=Lister!$D$7,(X101*$C$6)/100,0)))))</f>
        <v>0</v>
      </c>
      <c r="Y103" s="214">
        <f>IF(I12=2,Y100*I6/100,IF($G$6=Lister!$D$4,(Y100*$C$6)/100,IF($G$6=Lister!$D$5,(Y102*$C$6)/100,IF($G$6=Lister!$D$6,((Y102-SUMIFS(I52:I64,$O$52:$O$64,Lister!$D$30,$A$52:$A$64,Lister!$M$10))*$C$6)/100,IF($G$6=Lister!$D$7,(Y101*$C$6)/100,0)))))</f>
        <v>0</v>
      </c>
      <c r="Z103" s="213">
        <f>IF(J12=2,Z100*J6/100,IF($G$6=Lister!$D$4,(Z100*$C$6)/100,IF($G$6=Lister!$D$5,(Z102*$C$6)/100,IF($G$6=Lister!$D$6,((Z102-SUMIFS(J52:J64,$O$52:$O$64,Lister!$D$30,$A$52:$A$64,Lister!$M$10))*$C$6)/100,IF($G$6=Lister!$D$7,(Z101*$C$6)/100,0)))))</f>
        <v>0</v>
      </c>
      <c r="AA103" s="213">
        <f>IF(K12=2,AA100*K6/100,IF($G$6=Lister!$D$4,(AA100*$C$6)/100,IF($G$6=Lister!$D$5,(AA102*$C$6)/100,IF($G$6=Lister!$D$6,((AA102-SUMIFS(K52:K64,$O$52:$O$64,Lister!$D$30,$A$52:$A$64,Lister!$M$10))*$C$6)/100,IF($G$6=Lister!$D$7,(AA101*$C$6)/100,0)))))</f>
        <v>0</v>
      </c>
      <c r="AB103" s="213">
        <f>IF(L12=2,AB100*L6/100,IF($G$6=Lister!$D$4,(AB100*$C$6)/100,IF($G$6=Lister!$D$5,(AB102*$C$6)/100,IF($G$6=Lister!$D$6,((AB102-SUMIFS(L52:L64,$O$52:$O$64,Lister!$D$30,$A$52:$A$64,Lister!$M$10))*$C$6)/100,IF($G$6=Lister!$D$7,(AB101*$C$6)/100,0)))))</f>
        <v>0</v>
      </c>
      <c r="AC103" s="147">
        <f t="shared" si="142"/>
        <v>404475</v>
      </c>
      <c r="AD103" s="71"/>
      <c r="AE103" s="71"/>
      <c r="AF103" s="71"/>
      <c r="AG103" s="71"/>
      <c r="AH103" s="71"/>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row>
    <row r="104" spans="1:62" s="9" customFormat="1" ht="14.25" customHeight="1" x14ac:dyDescent="0.2">
      <c r="N104" s="71"/>
      <c r="O104" s="87"/>
      <c r="P104" s="87"/>
      <c r="Q104" s="160" t="s">
        <v>103</v>
      </c>
      <c r="R104" s="327">
        <f t="shared" si="141"/>
        <v>0</v>
      </c>
      <c r="S104" s="162">
        <f>+IF($C$8=Lister!$O$5,(SUMIF($O$20:$O$29,Lister!$D$30,C20:C29))*Takstblad!C$81,0)</f>
        <v>0</v>
      </c>
      <c r="T104" s="162">
        <f>+IF($C$8=Lister!$O$5,(SUMIF($O$20:$O$29,Lister!$D$30,D20:D29))*Takstblad!D$81,0)</f>
        <v>0</v>
      </c>
      <c r="U104" s="162">
        <f>+IF($C$8=Lister!$O$5,(SUMIF($O$20:$O$29,Lister!$D$30,E20:E29))*Takstblad!E$81,0)</f>
        <v>0</v>
      </c>
      <c r="V104" s="162">
        <f>+IF($C$8=Lister!$O$5,(SUMIF($O$20:$O$29,Lister!$D$30,F20:F29))*Takstblad!F$81,0)</f>
        <v>0</v>
      </c>
      <c r="W104" s="162">
        <f>+IF($C$8=Lister!$O$5,(SUMIF($O$20:$O$29,Lister!$D$30,G20:G29))*Takstblad!G$81,0)</f>
        <v>0</v>
      </c>
      <c r="X104" s="315">
        <f>+IF($C$8=Lister!$O$5,(SUMIF($O$20:$O$29,Lister!$D$30,H20:H29))*Takstblad!H$81,0)</f>
        <v>0</v>
      </c>
      <c r="Y104" s="312">
        <f>+IF($C$8=Lister!$O$5,(SUMIF($O$20:$O$29,Lister!$D$30,I20:I29))*Takstblad!I$81,0)</f>
        <v>0</v>
      </c>
      <c r="Z104" s="21">
        <f>+IF($C$8=Lister!$O$5,(SUMIF($O$20:$O$29,Lister!$D$30,J20:J29))*Takstblad!J$81,0)</f>
        <v>0</v>
      </c>
      <c r="AA104" s="21">
        <f>+IF($C$8=Lister!$O$5,(SUMIF($O$20:$O$29,Lister!$D$30,K20:K29))*Takstblad!K$81,0)</f>
        <v>0</v>
      </c>
      <c r="AB104" s="21">
        <f>+IF($C$8=Lister!$O$5,(SUMIF($O$20:$O$29,Lister!$D$30,L20:L29))*Takstblad!L$81,0)</f>
        <v>0</v>
      </c>
      <c r="AC104" s="147">
        <f t="shared" si="142"/>
        <v>0</v>
      </c>
      <c r="AD104" s="71"/>
      <c r="AE104" s="70"/>
      <c r="AF104" s="70"/>
      <c r="AG104" s="70"/>
      <c r="AH104" s="70"/>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62" s="9" customFormat="1" ht="14.25" customHeight="1" x14ac:dyDescent="0.2">
      <c r="N105" s="71"/>
      <c r="O105" s="87"/>
      <c r="P105" s="87"/>
      <c r="Q105" s="160" t="s">
        <v>108</v>
      </c>
      <c r="R105" s="327">
        <f t="shared" si="141"/>
        <v>0</v>
      </c>
      <c r="S10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12)*Takstblad!C$82,0)</f>
        <v>0</v>
      </c>
      <c r="T105" s="162">
        <f>+IF($C$8="Project-Supplement",((SUMIFS(D20:D29,$O$20:$O$29,Lister!$D$30,$A$20:$A$29,Lister!$A$21)+SUMIFS(D20:D29,$O$20:$O$29,Lister!$D$30,$A$20:$A$29,Lister!$A$29)+SUMIFS(D20:D29,$O$20:$O$29,Lister!$D$30,$A$20:$A$29,Lister!$A$30)+SUMIFS(D20:D29,$O$20:$O$29,Lister!$D$30,$A$20:$A$29,Lister!$A$22)+SUMIFS(D20:D29,$O$20:$O$29,Lister!$D$30,$A$20:$A$29,Lister!$A$23)+SUMIFS(D20:D29,$O$20:$O$29,Lister!$D$30,$A$20:$A$29,Lister!$A$20))/12)*Takstblad!D$82,0)</f>
        <v>0</v>
      </c>
      <c r="U105" s="162">
        <f>+IF($C$8="Project-Supplement",((SUMIFS(E20:E29,$O$20:$O$29,Lister!$D$30,$A$20:$A$29,Lister!$A$21)+SUMIFS(E20:E29,$O$20:$O$29,Lister!$D$30,$A$20:$A$29,Lister!$A$29)+SUMIFS(E20:E29,$O$20:$O$29,Lister!$D$30,$A$20:$A$29,Lister!$A$30)+SUMIFS(E20:E29,$O$20:$O$29,Lister!$D$30,$A$20:$A$29,Lister!$A$22)+SUMIFS(E20:E29,$O$20:$O$29,Lister!$D$30,$A$20:$A$29,Lister!$A$23)+SUMIFS(E20:E29,$O$20:$O$29,Lister!$D$30,$A$20:$A$29,Lister!$A$20))/12)*Takstblad!E$82,0)</f>
        <v>0</v>
      </c>
      <c r="V105" s="162">
        <f>+IF($C$8="Project-Supplement",((SUMIFS(F20:F29,$O$20:$O$29,Lister!$D$30,$A$20:$A$29,Lister!$A$21)+SUMIFS(F20:F29,$O$20:$O$29,Lister!$D$30,$A$20:$A$29,Lister!$A$29)+SUMIFS(F20:F29,$O$20:$O$29,Lister!$D$30,$A$20:$A$29,Lister!$A$30)+SUMIFS(F20:F29,$O$20:$O$29,Lister!$D$30,$A$20:$A$29,Lister!$A$22)+SUMIFS(F20:F29,$O$20:$O$29,Lister!$D$30,$A$20:$A$29,Lister!$A$23)+SUMIFS(F20:F29,$O$20:$O$29,Lister!$D$30,$A$20:$A$29,Lister!$A$20))/12)*Takstblad!F$82,0)</f>
        <v>0</v>
      </c>
      <c r="W105" s="162">
        <f>+IF($C$8="Project-Supplement",((SUMIFS(G20:G29,$O$20:$O$29,Lister!$D$30,$A$20:$A$29,Lister!$A$21)+SUMIFS(G20:G29,$O$20:$O$29,Lister!$D$30,$A$20:$A$29,Lister!$A$29)+SUMIFS(G20:G29,$O$20:$O$29,Lister!$D$30,$A$20:$A$29,Lister!$A$30)+SUMIFS(G20:G29,$O$20:$O$29,Lister!$D$30,$A$20:$A$29,Lister!$A$22)+SUMIFS(G20:G29,$O$20:$O$29,Lister!$D$30,$A$20:$A$29,Lister!$A$23)+SUMIFS(G20:G29,$O$20:$O$29,Lister!$D$30,$A$20:$A$29,Lister!$A$20))/12)*Takstblad!G$82,0)</f>
        <v>0</v>
      </c>
      <c r="X105" s="315">
        <f>+IF($C$8="Project-Supplement",((SUMIFS(H20:H29,$O$20:$O$29,Lister!$D$30,$A$20:$A$29,Lister!$A$21)+SUMIFS(H20:H29,$O$20:$O$29,Lister!$D$30,$A$20:$A$29,Lister!$A$29)+SUMIFS(H20:H29,$O$20:$O$29,Lister!$D$30,$A$20:$A$29,Lister!$A$30)+SUMIFS(H20:H29,$O$20:$O$29,Lister!$D$30,$A$20:$A$29,Lister!$A$22)+SUMIFS(H20:H29,$O$20:$O$29,Lister!$D$30,$A$20:$A$29,Lister!$A$23)+SUMIFS(H20:H29,$O$20:$O$29,Lister!$D$30,$A$20:$A$29,Lister!$A$20))/12)*Takstblad!H$82,0)</f>
        <v>0</v>
      </c>
      <c r="Y105" s="119">
        <f>+IF($C$8="Project-Supplement",((SUMIFS(I20:I29,$O$20:$O$29,Lister!$D$30,$A$20:$A$29,Lister!$A$21)+SUMIFS(I20:I29,$O$20:$O$29,Lister!$D$30,$A$20:$A$29,Lister!$A$29)+SUMIFS(I20:I29,$O$20:$O$29,Lister!$D$30,$A$20:$A$29,Lister!$A$30)+SUMIFS(I20:I29,$O$20:$O$29,Lister!$D$30,$A$20:$A$29,Lister!$A$22)+SUMIFS(I20:I29,$O$20:$O$29,Lister!$D$30,$A$20:$A$29,Lister!$A$23)+SUMIFS(I20:I29,$O$20:$O$29,Lister!$D$30,$A$20:$A$29,Lister!$A$20))/12)*Takstblad!I$82,0)</f>
        <v>0</v>
      </c>
      <c r="Z105" s="21">
        <f>+IF($C$8="Project-Supplement",((SUMIFS(J20:J29,$O$20:$O$29,Lister!$D$30,$A$20:$A$29,Lister!$A$21)+SUMIFS(J20:J29,$O$20:$O$29,Lister!$D$30,$A$20:$A$29,Lister!$A$29)+SUMIFS(J20:J29,$O$20:$O$29,Lister!$D$30,$A$20:$A$29,Lister!$A$30)+SUMIFS(J20:J29,$O$20:$O$29,Lister!$D$30,$A$20:$A$29,Lister!$A$22)+SUMIFS(J20:J29,$O$20:$O$29,Lister!$D$30,$A$20:$A$29,Lister!$A$23)+SUMIFS(J20:J29,$O$20:$O$29,Lister!$D$30,$A$20:$A$29,Lister!$A$20))/12)*Takstblad!J$82,0)</f>
        <v>0</v>
      </c>
      <c r="AA105" s="21">
        <f>+IF($C$8="Project-Supplement",((SUMIFS(K20:K29,$O$20:$O$29,Lister!$D$30,$A$20:$A$29,Lister!$A$21)+SUMIFS(K20:K29,$O$20:$O$29,Lister!$D$30,$A$20:$A$29,Lister!$A$29)+SUMIFS(K20:K29,$O$20:$O$29,Lister!$D$30,$A$20:$A$29,Lister!$A$30)+SUMIFS(K20:K29,$O$20:$O$29,Lister!$D$30,$A$20:$A$29,Lister!$A$22)+SUMIFS(K20:K29,$O$20:$O$29,Lister!$D$30,$A$20:$A$29,Lister!$A$23)+SUMIFS(K20:K29,$O$20:$O$29,Lister!$D$30,$A$20:$A$29,Lister!$A$20))/12)*Takstblad!K$82,0)</f>
        <v>0</v>
      </c>
      <c r="AB105" s="21">
        <f>+IF($C$8="Project-Supplement",((SUMIFS(L20:L29,$O$20:$O$29,Lister!$D$30,$A$20:$A$29,Lister!$A$21)+SUMIFS(L20:L29,$O$20:$O$29,Lister!$D$30,$A$20:$A$29,Lister!$A$29)+SUMIFS(L20:L29,$O$20:$O$29,Lister!$D$30,$A$20:$A$29,Lister!$A$30)+SUMIFS(L20:L29,$O$20:$O$29,Lister!$D$30,$A$20:$A$29,Lister!$A$22)+SUMIFS(L20:L29,$O$20:$O$29,Lister!$D$30,$A$20:$A$29,Lister!$A$23)+SUMIFS(L20:L29,$O$20:$O$29,Lister!$D$30,$A$20:$A$29,Lister!$A$20))/12)*Takstblad!L$82,0)</f>
        <v>0</v>
      </c>
      <c r="AC105" s="147">
        <f t="shared" si="142"/>
        <v>0</v>
      </c>
      <c r="AD105" s="70"/>
      <c r="AE105" s="79"/>
      <c r="AF105" s="79"/>
      <c r="AG105" s="79"/>
      <c r="AH105" s="79"/>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row>
    <row r="106" spans="1:62" s="9" customFormat="1" ht="14.25" customHeight="1" x14ac:dyDescent="0.2">
      <c r="N106" s="71"/>
      <c r="O106" s="87"/>
      <c r="P106" s="87"/>
      <c r="Q106" s="159" t="s">
        <v>545</v>
      </c>
      <c r="R106" s="327">
        <f t="shared" si="141"/>
        <v>0</v>
      </c>
      <c r="S106" s="162" t="str">
        <f>IF($C$12=2,(SUM(S102:S105)*$C$13)/100,"0")</f>
        <v>0</v>
      </c>
      <c r="T106" s="162" t="str">
        <f>IF($C$12=2,(SUM(T102:T105)*$C$13)/100,"0")</f>
        <v>0</v>
      </c>
      <c r="U106" s="162" t="str">
        <f t="shared" ref="U106:Z106" si="147">IF($C$12=2,(SUM(U102:U105)*$C$13)/100,"0")</f>
        <v>0</v>
      </c>
      <c r="V106" s="162" t="str">
        <f t="shared" si="147"/>
        <v>0</v>
      </c>
      <c r="W106" s="162" t="str">
        <f t="shared" si="147"/>
        <v>0</v>
      </c>
      <c r="X106" s="315" t="str">
        <f t="shared" si="147"/>
        <v>0</v>
      </c>
      <c r="Y106" s="163" t="str">
        <f t="shared" si="147"/>
        <v>0</v>
      </c>
      <c r="Z106" s="162" t="str">
        <f t="shared" si="147"/>
        <v>0</v>
      </c>
      <c r="AA106" s="162" t="str">
        <f t="shared" ref="AA106:AB106" si="148">IF($C$12=2,(SUM(AA102:AA105)*$C$13)/100,"0")</f>
        <v>0</v>
      </c>
      <c r="AB106" s="162" t="str">
        <f t="shared" si="148"/>
        <v>0</v>
      </c>
      <c r="AC106" s="147">
        <f t="shared" si="142"/>
        <v>0</v>
      </c>
      <c r="AD106" s="79"/>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62" s="9" customFormat="1" ht="14.25" customHeight="1" x14ac:dyDescent="0.2">
      <c r="N107" s="71"/>
      <c r="O107" s="87"/>
      <c r="P107" s="87"/>
      <c r="Q107" s="158" t="s">
        <v>101</v>
      </c>
      <c r="R107" s="327">
        <f t="shared" si="141"/>
        <v>2022375</v>
      </c>
      <c r="S107" s="328">
        <f>+SUM(S102:S106)</f>
        <v>0</v>
      </c>
      <c r="T107" s="328">
        <f t="shared" ref="T107:Z107" si="149">+SUM(T102:T106)</f>
        <v>483000</v>
      </c>
      <c r="U107" s="328">
        <f t="shared" si="149"/>
        <v>497625</v>
      </c>
      <c r="V107" s="328">
        <f t="shared" si="149"/>
        <v>513000</v>
      </c>
      <c r="W107" s="328">
        <f t="shared" si="149"/>
        <v>528750</v>
      </c>
      <c r="X107" s="329">
        <f t="shared" si="149"/>
        <v>0</v>
      </c>
      <c r="Y107" s="311">
        <f t="shared" si="149"/>
        <v>0</v>
      </c>
      <c r="Z107" s="146">
        <f t="shared" si="149"/>
        <v>0</v>
      </c>
      <c r="AA107" s="146">
        <f t="shared" ref="AA107:AB107" si="150">+SUM(AA102:AA106)</f>
        <v>0</v>
      </c>
      <c r="AB107" s="146">
        <f t="shared" si="150"/>
        <v>0</v>
      </c>
      <c r="AC107" s="147">
        <f t="shared" si="142"/>
        <v>2022375</v>
      </c>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row>
    <row r="108" spans="1:62" s="9" customFormat="1" ht="14.25" customHeight="1" x14ac:dyDescent="0.2">
      <c r="N108" s="71"/>
      <c r="O108" s="87"/>
      <c r="P108" s="87"/>
      <c r="Q108" s="238"/>
      <c r="R108" s="142"/>
      <c r="S108" s="76"/>
      <c r="T108" s="76"/>
      <c r="U108" s="76"/>
      <c r="V108" s="76"/>
      <c r="W108" s="76"/>
      <c r="X108" s="142"/>
      <c r="Y108" s="76"/>
      <c r="Z108" s="76"/>
      <c r="AA108" s="76"/>
      <c r="AB108" s="76"/>
      <c r="AC108" s="142"/>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row>
    <row r="109" spans="1:62" s="9" customFormat="1" ht="14.25" customHeight="1" x14ac:dyDescent="0.25">
      <c r="N109" s="71"/>
      <c r="O109" s="87"/>
      <c r="P109" s="87"/>
      <c r="Q109" s="139" t="s">
        <v>656</v>
      </c>
      <c r="R109" s="140"/>
      <c r="S109" s="241"/>
      <c r="T109" s="241"/>
      <c r="U109" s="241"/>
      <c r="V109" s="241"/>
      <c r="W109" s="241"/>
      <c r="X109" s="316"/>
      <c r="Y109" s="241"/>
      <c r="Z109" s="242"/>
      <c r="AA109" s="242"/>
      <c r="AB109" s="242"/>
      <c r="AC109" s="140"/>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row>
    <row r="110" spans="1:62" s="9" customFormat="1" ht="14.25" customHeight="1" x14ac:dyDescent="0.25">
      <c r="N110" s="71"/>
      <c r="O110" s="87"/>
      <c r="P110" s="87"/>
      <c r="Q110" s="143"/>
      <c r="R110" s="142"/>
      <c r="S110" s="16"/>
      <c r="T110" s="16"/>
      <c r="U110" s="16"/>
      <c r="V110" s="16"/>
      <c r="W110" s="16"/>
      <c r="X110" s="317"/>
      <c r="Y110" s="16"/>
      <c r="Z110" s="16"/>
      <c r="AA110" s="16"/>
      <c r="AB110" s="16"/>
      <c r="AC110" s="142"/>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62" s="9" customFormat="1" ht="14.25" customHeight="1" x14ac:dyDescent="0.2">
      <c r="A111" s="7"/>
      <c r="B111" s="7"/>
      <c r="C111" s="7"/>
      <c r="D111" s="7"/>
      <c r="E111" s="7"/>
      <c r="F111" s="7"/>
      <c r="G111" s="7"/>
      <c r="H111" s="7"/>
      <c r="I111" s="7"/>
      <c r="J111" s="7"/>
      <c r="K111" s="7"/>
      <c r="L111" s="7"/>
      <c r="M111" s="7"/>
      <c r="N111" s="7"/>
      <c r="O111" s="7"/>
      <c r="P111" s="7"/>
      <c r="Q111" s="161" t="s">
        <v>22</v>
      </c>
      <c r="R111" s="133" t="s">
        <v>34</v>
      </c>
      <c r="S111" s="45">
        <f>+S97</f>
        <v>2025</v>
      </c>
      <c r="T111" s="8">
        <f t="shared" ref="T111:Z111" si="151">+T97</f>
        <v>2026</v>
      </c>
      <c r="U111" s="8">
        <f t="shared" si="151"/>
        <v>2027</v>
      </c>
      <c r="V111" s="8">
        <f t="shared" si="151"/>
        <v>2028</v>
      </c>
      <c r="W111" s="8">
        <f t="shared" si="151"/>
        <v>2029</v>
      </c>
      <c r="X111" s="133">
        <f t="shared" si="151"/>
        <v>2030</v>
      </c>
      <c r="Y111" s="8">
        <f t="shared" si="151"/>
        <v>2031</v>
      </c>
      <c r="Z111" s="8">
        <f t="shared" si="151"/>
        <v>2032</v>
      </c>
      <c r="AA111" s="8">
        <f t="shared" ref="AA111:AB111" si="152">+AA97</f>
        <v>2033</v>
      </c>
      <c r="AB111" s="8">
        <f t="shared" si="152"/>
        <v>2034</v>
      </c>
      <c r="AC111" s="133" t="s">
        <v>34</v>
      </c>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row>
    <row r="112" spans="1:62" s="9" customFormat="1" ht="14.25" customHeight="1" x14ac:dyDescent="0.2">
      <c r="A112" s="7"/>
      <c r="B112" s="7"/>
      <c r="C112" s="7"/>
      <c r="D112" s="7"/>
      <c r="E112" s="7"/>
      <c r="F112" s="7"/>
      <c r="G112" s="7"/>
      <c r="H112" s="7"/>
      <c r="I112" s="7"/>
      <c r="J112" s="7"/>
      <c r="K112" s="7"/>
      <c r="L112" s="7"/>
      <c r="M112" s="7"/>
      <c r="N112" s="7"/>
      <c r="O112" s="7"/>
      <c r="P112" s="7"/>
      <c r="Q112" s="156" t="s">
        <v>74</v>
      </c>
      <c r="R112" s="330">
        <f t="shared" ref="R112:R121" si="153">+AC112</f>
        <v>0</v>
      </c>
      <c r="S112" s="331">
        <f>+SUMIF($O$20:$O$29,Lister!$D$31,S$20:S$29)</f>
        <v>0</v>
      </c>
      <c r="T112" s="334">
        <f>+SUMIF($O$20:$O$29,Lister!$D$31,T$20:T$29)</f>
        <v>0</v>
      </c>
      <c r="U112" s="331">
        <f>+SUMIF($O$20:$O$29,Lister!$D$31,U$20:U$29)</f>
        <v>0</v>
      </c>
      <c r="V112" s="334">
        <f>+SUMIF($O$20:$O$29,Lister!$D$31,V$20:V$29)</f>
        <v>0</v>
      </c>
      <c r="W112" s="331">
        <f>+SUMIF($O$20:$O$29,Lister!$D$31,W$20:W$29)</f>
        <v>0</v>
      </c>
      <c r="X112" s="335">
        <f>+SUMIF($O$20:$O$29,Lister!$D$31,X$20:X$29)</f>
        <v>0</v>
      </c>
      <c r="Y112" s="309">
        <f>+SUMIF($O$20:$O$29,Lister!$D$31,Y$20:Y$29)</f>
        <v>0</v>
      </c>
      <c r="Z112" s="28">
        <f>+SUMIF($O$20:$O$29,Lister!$D$31,Z$20:Z$29)</f>
        <v>0</v>
      </c>
      <c r="AA112" s="28">
        <f>+SUMIF($O$20:$O$29,Lister!$D$31,AA$20:AA$29)</f>
        <v>0</v>
      </c>
      <c r="AB112" s="28">
        <f>+SUMIF($O$20:$O$29,Lister!$D$31,AB$20:AB$29)</f>
        <v>0</v>
      </c>
      <c r="AC112" s="149">
        <f>SUM(S112:Z112)</f>
        <v>0</v>
      </c>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row>
    <row r="113" spans="17:30" ht="14.25" customHeight="1" x14ac:dyDescent="0.2">
      <c r="Q113" s="157" t="s">
        <v>75</v>
      </c>
      <c r="R113" s="324">
        <f t="shared" si="153"/>
        <v>0</v>
      </c>
      <c r="S113" s="325">
        <f>+SUMIF($O$33:$O$45,Lister!$D$31,S$33:S$45)</f>
        <v>0</v>
      </c>
      <c r="T113" s="336">
        <f>+SUMIF($O$33:$O$45,Lister!$D$31,T$33:T$45)</f>
        <v>0</v>
      </c>
      <c r="U113" s="325">
        <f>+SUMIF($O$33:$O$45,Lister!$D$31,U$33:U$45)</f>
        <v>0</v>
      </c>
      <c r="V113" s="336">
        <f>+SUMIF($O$33:$O$45,Lister!$D$31,V$33:V$45)</f>
        <v>0</v>
      </c>
      <c r="W113" s="325">
        <f>+SUMIF($O$33:$O$45,Lister!$D$31,W$33:W$45)</f>
        <v>0</v>
      </c>
      <c r="X113" s="337">
        <f>+SUMIF($O$33:$O$45,Lister!$D$31,X$33:X$45)</f>
        <v>0</v>
      </c>
      <c r="Y113" s="310">
        <f>+SUMIF($O$33:$O$45,Lister!$D$31,Y$33:Y$45)</f>
        <v>0</v>
      </c>
      <c r="Z113" s="122">
        <f>+SUMIF($O$33:$O$45,Lister!$D$31,Z$33:Z$45)</f>
        <v>0</v>
      </c>
      <c r="AA113" s="122">
        <f>+SUMIF($O$33:$O$45,Lister!$D$31,AA$33:AA$45)</f>
        <v>0</v>
      </c>
      <c r="AB113" s="122">
        <f>+SUMIF($O$33:$O$45,Lister!$D$31,AB$33:AB$45)</f>
        <v>0</v>
      </c>
      <c r="AC113" s="150">
        <f t="shared" ref="AC113:AC116" si="154">SUM(S113:Z113)</f>
        <v>0</v>
      </c>
      <c r="AD113" s="71"/>
    </row>
    <row r="114" spans="17:30" ht="14.25" customHeight="1" x14ac:dyDescent="0.2">
      <c r="Q114" s="158" t="s">
        <v>76</v>
      </c>
      <c r="R114" s="327">
        <f t="shared" si="153"/>
        <v>0</v>
      </c>
      <c r="S114" s="328">
        <f>+S113+S112</f>
        <v>0</v>
      </c>
      <c r="T114" s="328">
        <f t="shared" ref="T114:Z114" si="155">+T113+T112</f>
        <v>0</v>
      </c>
      <c r="U114" s="328">
        <f t="shared" si="155"/>
        <v>0</v>
      </c>
      <c r="V114" s="328">
        <f t="shared" si="155"/>
        <v>0</v>
      </c>
      <c r="W114" s="328">
        <f t="shared" si="155"/>
        <v>0</v>
      </c>
      <c r="X114" s="329">
        <f t="shared" si="155"/>
        <v>0</v>
      </c>
      <c r="Y114" s="311">
        <f t="shared" si="155"/>
        <v>0</v>
      </c>
      <c r="Z114" s="146">
        <f t="shared" si="155"/>
        <v>0</v>
      </c>
      <c r="AA114" s="146">
        <f t="shared" ref="AA114:AB114" si="156">+AA113+AA112</f>
        <v>0</v>
      </c>
      <c r="AB114" s="146">
        <f t="shared" si="156"/>
        <v>0</v>
      </c>
      <c r="AC114" s="147">
        <f t="shared" si="154"/>
        <v>0</v>
      </c>
    </row>
    <row r="115" spans="17:30" ht="14.25" customHeight="1" x14ac:dyDescent="0.2">
      <c r="Q115" s="158" t="s">
        <v>77</v>
      </c>
      <c r="R115" s="327">
        <f t="shared" si="153"/>
        <v>0</v>
      </c>
      <c r="S115" s="328">
        <f>+SUMIF($O$52:$O$64,Lister!$D$31,C$52:C$64)</f>
        <v>0</v>
      </c>
      <c r="T115" s="342">
        <f>+SUMIF($O$52:$O$64,Lister!$D$31,D$52:D$64)</f>
        <v>0</v>
      </c>
      <c r="U115" s="342">
        <f>+SUMIF($O$52:$O$64,Lister!$D$31,E$52:E$64)</f>
        <v>0</v>
      </c>
      <c r="V115" s="342">
        <f>+SUMIF($O$52:$O$64,Lister!$D$31,F$52:F$64)</f>
        <v>0</v>
      </c>
      <c r="W115" s="342">
        <f>+SUMIF($O$52:$O$64,Lister!$D$31,G$52:G$64)</f>
        <v>0</v>
      </c>
      <c r="X115" s="343">
        <f>+SUMIF($O$52:$O$64,Lister!$D$31,H$52:H$64)</f>
        <v>0</v>
      </c>
      <c r="Y115" s="218">
        <f>+SUMIF($O$52:$O$64,Lister!$D$31,I$52:I$64)</f>
        <v>0</v>
      </c>
      <c r="Z115" s="217">
        <f>+SUMIF($O$52:$O$64,Lister!$D$31,J$52:J$64)</f>
        <v>0</v>
      </c>
      <c r="AA115" s="217">
        <f>+SUMIF($O$52:$O$64,Lister!$D$31,K$52:K$64)</f>
        <v>0</v>
      </c>
      <c r="AB115" s="217">
        <f>+SUMIF($O$52:$O$64,Lister!$D$31,L$52:L$64)</f>
        <v>0</v>
      </c>
      <c r="AC115" s="147">
        <f t="shared" si="154"/>
        <v>0</v>
      </c>
    </row>
    <row r="116" spans="17:30" ht="14.25" customHeight="1" x14ac:dyDescent="0.2">
      <c r="Q116" s="158" t="s">
        <v>78</v>
      </c>
      <c r="R116" s="327">
        <f t="shared" si="153"/>
        <v>0</v>
      </c>
      <c r="S116" s="328">
        <f>+S115+S114</f>
        <v>0</v>
      </c>
      <c r="T116" s="328">
        <f t="shared" ref="T116:Z116" si="157">+T115+T114</f>
        <v>0</v>
      </c>
      <c r="U116" s="328">
        <f t="shared" si="157"/>
        <v>0</v>
      </c>
      <c r="V116" s="328">
        <f t="shared" si="157"/>
        <v>0</v>
      </c>
      <c r="W116" s="328">
        <f t="shared" si="157"/>
        <v>0</v>
      </c>
      <c r="X116" s="329">
        <f t="shared" si="157"/>
        <v>0</v>
      </c>
      <c r="Y116" s="151">
        <f t="shared" si="157"/>
        <v>0</v>
      </c>
      <c r="Z116" s="146">
        <f t="shared" si="157"/>
        <v>0</v>
      </c>
      <c r="AA116" s="146">
        <f t="shared" ref="AA116:AB116" si="158">+AA115+AA114</f>
        <v>0</v>
      </c>
      <c r="AB116" s="146">
        <f t="shared" si="158"/>
        <v>0</v>
      </c>
      <c r="AC116" s="147">
        <f t="shared" si="154"/>
        <v>0</v>
      </c>
    </row>
    <row r="117" spans="17:30" ht="14.25" customHeight="1" x14ac:dyDescent="0.2">
      <c r="Q117" s="159" t="s">
        <v>0</v>
      </c>
      <c r="R117" s="327">
        <f t="shared" si="153"/>
        <v>0</v>
      </c>
      <c r="S117" s="162">
        <f>IF(C12=2,S114*C6/100,IF($G$6=Lister!$D$4,(S114*$C$6)/100,IF($G$6=Lister!$D$5,(S116*$C$6)/100,IF($G$6=Lister!$D$6,((S116-SUMIFS(C52:C64,$O$52:$O$64,Lister!$D$31,$A$52:$A$64,Lister!$M$10))*$C$6)/100,IF($G$6=Lister!$D$7,(S115*$C$6)/100,0)))))</f>
        <v>0</v>
      </c>
      <c r="T117" s="338">
        <f>IF(D12=2,T114*D6/100,IF($G$6=Lister!$D$4,(T114*$C$6)/100,IF($G$6=Lister!$D$5,(T116*$C$6)/100,IF($G$6=Lister!$D$6,((T116-SUMIFS(D52:D64,$O$52:$O$64,Lister!$D$31,$A$52:$A$64,Lister!$M$10))*$C$6)/100,IF($G$6=Lister!$D$7,(T115*$C$6)/100,0)))))</f>
        <v>0</v>
      </c>
      <c r="U117" s="338">
        <f>IF(E12=2,U114*E6/100,IF($G$6=Lister!$D$4,(U114*$C$6)/100,IF($G$6=Lister!$D$5,(U116*$C$6)/100,IF($G$6=Lister!$D$6,((U116-SUMIFS(E52:E64,$O$52:$O$64,Lister!$D$31,$A$52:$A$64,Lister!$M$10))*$C$6)/100,IF($G$6=Lister!$D$7,(U115*$C$6)/100,0)))))</f>
        <v>0</v>
      </c>
      <c r="V117" s="338">
        <f>IF(F12=2,V114*F6/100,IF($G$6=Lister!$D$4,(V114*$C$6)/100,IF($G$6=Lister!$D$5,(V116*$C$6)/100,IF($G$6=Lister!$D$6,((V116-SUMIFS(F52:F64,$O$52:$O$64,Lister!$D$31,$A$52:$A$64,Lister!$M$10))*$C$6)/100,IF($G$6=Lister!$D$7,(V115*$C$6)/100,0)))))</f>
        <v>0</v>
      </c>
      <c r="W117" s="338">
        <f>IF(G12=2,W114*G6/100,IF($G$6=Lister!$D$4,(W114*$C$6)/100,IF($G$6=Lister!$D$5,(W116*$C$6)/100,IF($G$6=Lister!$D$6,((W116-SUMIFS(G52:G64,$O$52:$O$64,Lister!$D$31,$A$52:$A$64,Lister!$M$10))*$C$6)/100,IF($G$6=Lister!$D$7,(W115*$C$6)/100,0)))))</f>
        <v>0</v>
      </c>
      <c r="X117" s="339">
        <f>IF(H12=2,X114*H6/100,IF($G$6=Lister!$D$4,(X114*$C$6)/100,IF($G$6=Lister!$D$5,(X116*$C$6)/100,IF($G$6=Lister!$D$6,((X116-SUMIFS(H52:H64,$O$52:$O$64,Lister!$D$31,$A$52:$A$64,Lister!$M$10))*$C$6)/100,IF($G$6=Lister!$D$7,(X115*$C$6)/100,0)))))</f>
        <v>0</v>
      </c>
      <c r="Y117" s="214">
        <f>IF(I12=2,Y114*I6/100,IF($G$6=Lister!$D$4,(Y114*$C$6)/100,IF($G$6=Lister!$D$5,(Y116*$C$6)/100,IF($G$6=Lister!$D$6,((Y116-SUMIFS(I52:I64,$O$52:$O$64,Lister!$D$31,$A$52:$A$64,Lister!$M$10))*$C$6)/100,IF($G$6=Lister!$D$7,(Y115*$C$6)/100,0)))))</f>
        <v>0</v>
      </c>
      <c r="Z117" s="213">
        <f>IF(J12=2,Z114*J6/100,IF($G$6=Lister!$D$4,(Z114*$C$6)/100,IF($G$6=Lister!$D$5,(Z116*$C$6)/100,IF($G$6=Lister!$D$6,((Z116-SUMIFS(J52:J64,$O$52:$O$64,Lister!$D$31,$A$52:$A$64,Lister!$M$10))*$C$6)/100,IF($G$6=Lister!$D$7,(Z115*$C$6)/100,0)))))</f>
        <v>0</v>
      </c>
      <c r="AA117" s="213">
        <f>IF(K12=2,AA114*K6/100,IF($G$6=Lister!$D$4,(AA114*$C$6)/100,IF($G$6=Lister!$D$5,(AA116*$C$6)/100,IF($G$6=Lister!$D$6,((AA116-SUMIFS(K52:K64,$O$52:$O$64,Lister!$D$31,$A$52:$A$64,Lister!$M$10))*$C$6)/100,IF($G$6=Lister!$D$7,(AA115*$C$6)/100,0)))))</f>
        <v>0</v>
      </c>
      <c r="AB117" s="213">
        <f>IF(L12=2,AB114*L6/100,IF($G$6=Lister!$D$4,(AB114*$C$6)/100,IF($G$6=Lister!$D$5,(AB116*$C$6)/100,IF($G$6=Lister!$D$6,((AB116-SUMIFS(L52:L64,$O$52:$O$64,Lister!$D$31,$A$52:$A$64,Lister!$M$10))*$C$6)/100,IF($G$6=Lister!$D$7,(AB115*$C$6)/100,0)))))</f>
        <v>0</v>
      </c>
      <c r="AC117" s="147">
        <f>SUM(S117:Z117)</f>
        <v>0</v>
      </c>
    </row>
    <row r="118" spans="17:30" ht="14.25" customHeight="1" x14ac:dyDescent="0.2">
      <c r="Q118" s="160" t="s">
        <v>103</v>
      </c>
      <c r="R118" s="327">
        <f t="shared" si="153"/>
        <v>0</v>
      </c>
      <c r="S118" s="162">
        <f>+IF($C$8=Lister!$O$5,(SUMIF($O$20:$O$29,Lister!$D$31,C20:C29))*Takstblad!C$81,0)</f>
        <v>0</v>
      </c>
      <c r="T118" s="162">
        <f>+IF($C$8=Lister!$O$5,(SUMIF($O$20:$O$29,Lister!$D$31,D20:D29))*Takstblad!D$81,0)</f>
        <v>0</v>
      </c>
      <c r="U118" s="162">
        <f>+IF($C$8=Lister!$O$5,(SUMIF($O$20:$O$29,Lister!$D$31,E20:E29))*Takstblad!E$81,0)</f>
        <v>0</v>
      </c>
      <c r="V118" s="162">
        <f>+IF($C$8=Lister!$O$5,(SUMIF($O$20:$O$29,Lister!$D$31,F20:F29))*Takstblad!F$81,0)</f>
        <v>0</v>
      </c>
      <c r="W118" s="162">
        <f>+IF($C$8=Lister!$O$5,(SUMIF($O$20:$O$29,Lister!$D$31,G20:G29))*Takstblad!G$81,0)</f>
        <v>0</v>
      </c>
      <c r="X118" s="315">
        <f>+IF($C$8=Lister!$O$5,(SUMIF($O$20:$O$29,Lister!$D$31,H20:H29))*Takstblad!H$81,0)</f>
        <v>0</v>
      </c>
      <c r="Y118" s="312">
        <f>+IF($C$8=Lister!$O$5,(SUMIF($O$20:$O$29,Lister!$D$31,I20:I29))*Takstblad!I$81,0)</f>
        <v>0</v>
      </c>
      <c r="Z118" s="21">
        <f>+IF($C$8=Lister!$O$5,(SUMIF($O$20:$O$29,Lister!$D$31,J20:J29))*Takstblad!J$81,0)</f>
        <v>0</v>
      </c>
      <c r="AA118" s="21">
        <f>+IF($C$8=Lister!$O$5,(SUMIF($O$20:$O$29,Lister!$D$31,K20:K29))*Takstblad!K$81,0)</f>
        <v>0</v>
      </c>
      <c r="AB118" s="21">
        <f>+IF($C$8=Lister!$O$5,(SUMIF($O$20:$O$29,Lister!$D$31,L20:L29))*Takstblad!L$81,0)</f>
        <v>0</v>
      </c>
      <c r="AC118" s="147">
        <f t="shared" ref="AC118:AC121" si="159">SUM(S118:Z118)</f>
        <v>0</v>
      </c>
    </row>
    <row r="119" spans="17:30" ht="14.25" customHeight="1" x14ac:dyDescent="0.2">
      <c r="Q119" s="160" t="s">
        <v>108</v>
      </c>
      <c r="R119" s="327">
        <f t="shared" si="153"/>
        <v>0</v>
      </c>
      <c r="S119" s="162"/>
      <c r="T119" s="162"/>
      <c r="U119" s="162"/>
      <c r="V119" s="162"/>
      <c r="W119" s="162"/>
      <c r="X119" s="315"/>
      <c r="Y119" s="119"/>
      <c r="Z119" s="21"/>
      <c r="AA119" s="21"/>
      <c r="AB119" s="21"/>
      <c r="AC119" s="147">
        <f t="shared" si="159"/>
        <v>0</v>
      </c>
    </row>
    <row r="120" spans="17:30" ht="14.25" customHeight="1" x14ac:dyDescent="0.2">
      <c r="Q120" s="159" t="s">
        <v>545</v>
      </c>
      <c r="R120" s="327">
        <f t="shared" si="153"/>
        <v>0</v>
      </c>
      <c r="S120" s="162" t="str">
        <f>IF($C$12=2,(SUM(S116:S119)*$C$13)/100,"0")</f>
        <v>0</v>
      </c>
      <c r="T120" s="162" t="str">
        <f t="shared" ref="T120:Z120" si="160">IF($C$12=2,(SUM(T116:T119)*$C$13)/100,"0")</f>
        <v>0</v>
      </c>
      <c r="U120" s="162" t="str">
        <f t="shared" si="160"/>
        <v>0</v>
      </c>
      <c r="V120" s="162" t="str">
        <f t="shared" si="160"/>
        <v>0</v>
      </c>
      <c r="W120" s="162" t="str">
        <f t="shared" si="160"/>
        <v>0</v>
      </c>
      <c r="X120" s="315" t="str">
        <f t="shared" si="160"/>
        <v>0</v>
      </c>
      <c r="Y120" s="163" t="str">
        <f t="shared" si="160"/>
        <v>0</v>
      </c>
      <c r="Z120" s="162" t="str">
        <f t="shared" si="160"/>
        <v>0</v>
      </c>
      <c r="AA120" s="162" t="str">
        <f t="shared" ref="AA120:AB120" si="161">IF($C$12=2,(SUM(AA116:AA119)*$C$13)/100,"0")</f>
        <v>0</v>
      </c>
      <c r="AB120" s="162" t="str">
        <f t="shared" si="161"/>
        <v>0</v>
      </c>
      <c r="AC120" s="147">
        <f t="shared" si="159"/>
        <v>0</v>
      </c>
    </row>
    <row r="121" spans="17:30" ht="14.25" customHeight="1" thickBot="1" x14ac:dyDescent="0.25">
      <c r="Q121" s="318" t="s">
        <v>101</v>
      </c>
      <c r="R121" s="348">
        <f t="shared" si="153"/>
        <v>0</v>
      </c>
      <c r="S121" s="349">
        <f>+SUM(S116:S120)</f>
        <v>0</v>
      </c>
      <c r="T121" s="349">
        <f t="shared" ref="T121:Z121" si="162">+SUM(T116:T120)</f>
        <v>0</v>
      </c>
      <c r="U121" s="349">
        <f t="shared" si="162"/>
        <v>0</v>
      </c>
      <c r="V121" s="349">
        <f t="shared" si="162"/>
        <v>0</v>
      </c>
      <c r="W121" s="349">
        <f t="shared" si="162"/>
        <v>0</v>
      </c>
      <c r="X121" s="350">
        <f t="shared" si="162"/>
        <v>0</v>
      </c>
      <c r="Y121" s="314">
        <f t="shared" si="162"/>
        <v>0</v>
      </c>
      <c r="Z121" s="152">
        <f t="shared" si="162"/>
        <v>0</v>
      </c>
      <c r="AA121" s="152">
        <f t="shared" ref="AA121:AB121" si="163">+SUM(AA116:AA120)</f>
        <v>0</v>
      </c>
      <c r="AB121" s="152">
        <f t="shared" si="163"/>
        <v>0</v>
      </c>
      <c r="AC121" s="153">
        <f t="shared" si="159"/>
        <v>0</v>
      </c>
    </row>
    <row r="122" spans="17:30" x14ac:dyDescent="0.2">
      <c r="Q122" s="7"/>
      <c r="R122" s="7"/>
    </row>
    <row r="123" spans="17:30" x14ac:dyDescent="0.2">
      <c r="Q123" s="7"/>
      <c r="R123" s="7"/>
    </row>
    <row r="124" spans="17:30" x14ac:dyDescent="0.2">
      <c r="Q124" s="7"/>
      <c r="R124" s="7"/>
    </row>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sheetData>
  <mergeCells count="35">
    <mergeCell ref="BF19:BG19"/>
    <mergeCell ref="BF32:BG32"/>
    <mergeCell ref="BI19:BJ19"/>
    <mergeCell ref="BI32:BJ32"/>
    <mergeCell ref="AE32:AF32"/>
    <mergeCell ref="AH32:AI32"/>
    <mergeCell ref="AK32:AL32"/>
    <mergeCell ref="AN32:AO32"/>
    <mergeCell ref="AQ32:AR32"/>
    <mergeCell ref="AZ19:BA19"/>
    <mergeCell ref="AZ32:BA32"/>
    <mergeCell ref="BC19:BD19"/>
    <mergeCell ref="BC32:BD32"/>
    <mergeCell ref="AT19:AU19"/>
    <mergeCell ref="AW19:AX19"/>
    <mergeCell ref="AT32:AU32"/>
    <mergeCell ref="AW32:AX3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phoneticPr fontId="3" type="noConversion"/>
  <dataValidations xWindow="301" yWindow="666" count="3">
    <dataValidation type="decimal" operator="lessThan" allowBlank="1" showInputMessage="1" showErrorMessage="1" errorTitle="Too high value" error="Value can't exceed 12 months" sqref="C20:L29 C33:L42" xr:uid="{0F9873F2-B84E-4294-913D-54246FA3C950}">
      <formula1>13</formula1>
    </dataValidation>
    <dataValidation allowBlank="1" showInputMessage="1" sqref="I6 D6:F6" xr:uid="{BB5497AB-706F-493A-940A-E0DD5052689B}"/>
    <dataValidation type="date" allowBlank="1" showInputMessage="1" showErrorMessage="1" sqref="H9:I10 D9:D10 C9" xr:uid="{CABECA05-8ABD-456A-A2FE-B5E9A2899123}">
      <formula1>45292</formula1>
      <formula2>73050</formula2>
    </dataValidation>
  </dataValidations>
  <pageMargins left="0.15748031496062992" right="0.23622047244094491" top="0.27559055118110237" bottom="0.19685039370078741" header="0" footer="0"/>
  <pageSetup paperSize="9" scale="32" fitToWidth="2" orientation="landscape" r:id="rId1"/>
  <headerFooter alignWithMargins="0">
    <oddFooter>&amp;R&amp;A
&amp;D</oddFooter>
  </headerFooter>
  <colBreaks count="1" manualBreakCount="1">
    <brk id="15" max="119" man="1"/>
  </colBreaks>
  <ignoredErrors>
    <ignoredError sqref="AE47:AF47 M47 M66 M31 C31:H31 C66:H66 C47:H47 E30:H30" unlockedFormula="1"/>
  </ignoredErrors>
  <legacyDrawing r:id="rId2"/>
  <extLst>
    <ext xmlns:x14="http://schemas.microsoft.com/office/spreadsheetml/2009/9/main" uri="{CCE6A557-97BC-4b89-ADB6-D9C93CAAB3DF}">
      <x14:dataValidations xmlns:xm="http://schemas.microsoft.com/office/excel/2006/main" xWindow="301" yWindow="666" count="17">
        <x14:dataValidation type="list" errorStyle="warning" allowBlank="1" showInputMessage="1" showErrorMessage="1" errorTitle="Are you sure" error="You are about to select a number of hours that is not on the list. Are you sure you want to continue?" xr:uid="{7DCA00B2-191C-4C71-8CDB-A82A6E31ECB0}">
          <x14:formula1>
            <xm:f>Lister!$F$4:$F$10</xm:f>
          </x14:formula1>
          <xm:sqref>C7</xm:sqref>
        </x14:dataValidation>
        <x14:dataValidation type="list" allowBlank="1" showInputMessage="1" showErrorMessage="1" xr:uid="{635AD214-CD7E-45A1-8978-ABB5CEE77CE8}">
          <x14:formula1>
            <xm:f>Takstblad!$A$33:$A$51</xm:f>
          </x14:formula1>
          <xm:sqref>A33:A42</xm:sqref>
        </x14:dataValidation>
        <x14:dataValidation type="list" allowBlank="1" showInputMessage="1" showErrorMessage="1" xr:uid="{A5F79424-518A-4991-BEA5-6AC287C55F16}">
          <x14:formula1>
            <xm:f>Takstblad!$A$5:$A$30</xm:f>
          </x14:formula1>
          <xm:sqref>A20:A29</xm:sqref>
        </x14:dataValidation>
        <x14:dataValidation type="list" allowBlank="1" showInputMessage="1" xr:uid="{90738220-ECE5-4E95-9A07-297AB972BD05}">
          <x14:formula1>
            <xm:f>Lister!$O$4:$O$5</xm:f>
          </x14:formula1>
          <xm:sqref>C11</xm:sqref>
        </x14:dataValidation>
        <x14:dataValidation type="list" allowBlank="1" showErrorMessage="1" errorTitle="Information" error="Please choose a department from the list_x000a_" prompt="_x000a_" xr:uid="{00000000-0002-0000-0600-000000000000}">
          <x14:formula1>
            <xm:f>Lister!$A$4:$A$16</xm:f>
          </x14:formula1>
          <xm:sqref>C2</xm:sqref>
        </x14:dataValidation>
        <x14:dataValidation type="list" allowBlank="1" showInputMessage="1" showErrorMessage="1" errorTitle="STOP" error="You can only select a value from the list." xr:uid="{BC38D7FB-2001-4FC5-98E3-A24D101F3336}">
          <x14:formula1>
            <xm:f>Lister!$A$32:$A$33</xm:f>
          </x14:formula1>
          <xm:sqref>H8 H15</xm:sqref>
        </x14:dataValidation>
        <x14:dataValidation type="list" allowBlank="1" showInputMessage="1" showErrorMessage="1" xr:uid="{E9AE539B-D484-4681-9C25-F0D178C0B6A2}">
          <x14:formula1>
            <xm:f>Lister!$M$4:$M$16</xm:f>
          </x14:formula1>
          <xm:sqref>A52:A62</xm:sqref>
        </x14:dataValidation>
        <x14:dataValidation type="list" allowBlank="1" showInputMessage="1" showErrorMessage="1" errorTitle="STOP" error="You can only select a value from the list." xr:uid="{67063839-4FC5-4411-9A37-47714B11D459}">
          <x14:formula1>
            <xm:f>Lister!$A$41:$A$42</xm:f>
          </x14:formula1>
          <xm:sqref>C12</xm:sqref>
        </x14:dataValidation>
        <x14:dataValidation type="list" errorStyle="warning" allowBlank="1" showInputMessage="1" showErrorMessage="1" errorTitle="VIGTIGT" error="If you don't select funders from the list, make sure that the fields&quot; Insert overheads rate&quot;, Insert yearly count of hours&quot;, &quot;Overheads calculation basis&quot; and &quot;Calculate technical admin.&quot; are filled correctly" xr:uid="{3A2C0B6D-CE5E-419F-9B1C-4429EDEA35BE}">
          <x14:formula1>
            <xm:f>Lister!$I$20:$I$51</xm:f>
          </x14:formula1>
          <xm:sqref>C5:H5</xm:sqref>
        </x14:dataValidation>
        <x14:dataValidation type="list" allowBlank="1" showInputMessage="1" showErrorMessage="1" errorTitle="STOP" error="You can only select a value from the list." xr:uid="{9FF50B91-2E1D-4C52-BA0A-60B6344B8F87}">
          <x14:formula1>
            <xm:f>Lister!$I$4:$I$7</xm:f>
          </x14:formula1>
          <xm:sqref>G7:H7</xm:sqref>
        </x14:dataValidation>
        <x14:dataValidation type="list" errorStyle="information" allowBlank="1" showErrorMessage="1" errorTitle="Are you sure" error="You are about to select an EBIT that is different from 10. Are you sure you want to continue?" xr:uid="{95322450-4178-47C1-9525-FAD6B0659DAA}">
          <x14:formula1>
            <xm:f>Lister!$A$45:$A$46</xm:f>
          </x14:formula1>
          <xm:sqref>C13</xm:sqref>
        </x14:dataValidation>
        <x14:dataValidation type="list" errorStyle="warning" allowBlank="1" showInputMessage="1" showErrorMessage="1" errorTitle="Are you sure" error="You are about to select an EBIT that is different from 10. Are you sure you want to continue?" xr:uid="{D955E68A-CDE4-45D6-91A2-B79553C1BCAA}">
          <x14:formula1>
            <xm:f>Lister!$A$32:$A$33</xm:f>
          </x14:formula1>
          <xm:sqref>C14:C16</xm:sqref>
        </x14:dataValidation>
        <x14:dataValidation type="list" allowBlank="1" showInputMessage="1" xr:uid="{C4F3E8FA-E39D-4200-A66F-ADDC9E192912}">
          <x14:formula1>
            <xm:f>Lister!$O$4:$O$6</xm:f>
          </x14:formula1>
          <xm:sqref>C8:D8</xm:sqref>
        </x14:dataValidation>
        <x14:dataValidation type="list" allowBlank="1" showInputMessage="1" xr:uid="{02D67E29-6B20-46DB-95A1-CA0176039606}">
          <x14:formula1>
            <xm:f>Lister!$D$4:$D$7</xm:f>
          </x14:formula1>
          <xm:sqref>G6:H6</xm:sqref>
        </x14:dataValidation>
        <x14:dataValidation type="list" allowBlank="1" showInputMessage="1" showErrorMessage="1" errorTitle="STOP" error="You can only select a value from the list." xr:uid="{3A2DDBFB-ADFD-41E2-A485-0524134C5BA8}">
          <x14:formula1>
            <xm:f>Lister!$D$29:$D$32</xm:f>
          </x14:formula1>
          <xm:sqref>O33:P42 O20:P29 O52:P62</xm:sqref>
        </x14:dataValidation>
        <x14:dataValidation type="list" allowBlank="1" showInputMessage="1" xr:uid="{BA57DE47-DCA4-42A9-BF09-E7414264A4E6}">
          <x14:formula1>
            <xm:f>Lister!$D$37:$D$43</xm:f>
          </x14:formula1>
          <xm:sqref>C6</xm:sqref>
        </x14:dataValidation>
        <x14:dataValidation type="list" errorStyle="information" allowBlank="1" showInputMessage="1" xr:uid="{9F1A7021-0F43-4F4B-B715-5AD1A6BD9FF9}">
          <x14:formula1>
            <xm:f>Lister!$A$53:$A$54</xm:f>
          </x14:formula1>
          <xm:sqref>C10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4">
    <tabColor theme="8" tint="0.59999389629810485"/>
  </sheetPr>
  <dimension ref="A1:BN142"/>
  <sheetViews>
    <sheetView showGridLines="0" showZeros="0" zoomScale="80" zoomScaleNormal="80" zoomScaleSheetLayoutView="80" workbookViewId="0">
      <pane xSplit="2" ySplit="17" topLeftCell="C18" activePane="bottomRight" state="frozen"/>
      <selection activeCell="D30" sqref="D30:E30"/>
      <selection pane="topRight" activeCell="D30" sqref="D30:E30"/>
      <selection pane="bottomLeft" activeCell="D30" sqref="D30:E30"/>
      <selection pane="bottomRight" activeCell="C2" sqref="C2"/>
    </sheetView>
  </sheetViews>
  <sheetFormatPr defaultColWidth="16.875" defaultRowHeight="12.75" outlineLevelCol="1" x14ac:dyDescent="0.2"/>
  <cols>
    <col min="1" max="1" width="53.625" style="7" customWidth="1"/>
    <col min="2" max="2" width="11.75" style="7" hidden="1" customWidth="1"/>
    <col min="3" max="8" width="11.75" style="7" customWidth="1"/>
    <col min="9" max="12" width="11.75" style="7" hidden="1" customWidth="1" outlineLevel="1"/>
    <col min="13" max="13" width="39.625" style="7" customWidth="1" collapsed="1"/>
    <col min="14" max="14" width="26.875" style="7" customWidth="1"/>
    <col min="15" max="15" width="32.875" style="7" customWidth="1"/>
    <col min="16" max="16" width="6" style="7" customWidth="1"/>
    <col min="17" max="18" width="25.25" style="6" customWidth="1"/>
    <col min="19" max="24" width="12.75" style="7" customWidth="1"/>
    <col min="25" max="29" width="12.75" style="7" hidden="1" customWidth="1" outlineLevel="1"/>
    <col min="30" max="30" width="4.25" style="7" customWidth="1" collapsed="1"/>
    <col min="31" max="31" width="10.875" style="7" bestFit="1" customWidth="1"/>
    <col min="32" max="32" width="14.875" style="7" bestFit="1" customWidth="1"/>
    <col min="33" max="33" width="1.25" style="7" customWidth="1"/>
    <col min="34" max="34" width="10.875" style="7" bestFit="1" customWidth="1"/>
    <col min="35" max="35" width="14.875" style="7" bestFit="1" customWidth="1"/>
    <col min="36" max="36" width="1.25" style="7" customWidth="1"/>
    <col min="37" max="37" width="10.875" style="7" bestFit="1" customWidth="1"/>
    <col min="38" max="38" width="14.875" style="7" bestFit="1" customWidth="1"/>
    <col min="39" max="39" width="1.25" style="7" customWidth="1"/>
    <col min="40" max="40" width="10.875" style="7" bestFit="1" customWidth="1"/>
    <col min="41" max="41" width="14.875" style="7" bestFit="1" customWidth="1"/>
    <col min="42" max="42" width="1.25" style="7" customWidth="1"/>
    <col min="43" max="43" width="10.875" style="7" bestFit="1" customWidth="1"/>
    <col min="44" max="44" width="14.875" style="7" bestFit="1" customWidth="1"/>
    <col min="45" max="45" width="1.25" style="7" customWidth="1"/>
    <col min="46" max="46" width="10.875" style="7" bestFit="1" customWidth="1"/>
    <col min="47" max="47" width="14.875" style="7" bestFit="1" customWidth="1"/>
    <col min="48" max="48" width="1.25" style="7" customWidth="1"/>
    <col min="49" max="49" width="10.875" style="7" bestFit="1" customWidth="1"/>
    <col min="50" max="50" width="14.875" style="7" bestFit="1" customWidth="1"/>
    <col min="51" max="51" width="1.25" style="7" customWidth="1"/>
    <col min="52" max="52" width="10.875" style="7" hidden="1" customWidth="1" outlineLevel="1"/>
    <col min="53" max="53" width="14.875" style="7" hidden="1" customWidth="1" outlineLevel="1"/>
    <col min="54" max="54" width="1.25" style="7" hidden="1" customWidth="1" outlineLevel="1"/>
    <col min="55" max="55" width="10.875" style="7" hidden="1" customWidth="1" outlineLevel="1"/>
    <col min="56" max="56" width="14.875" style="7" hidden="1" customWidth="1" outlineLevel="1"/>
    <col min="57" max="57" width="1.25" style="7" hidden="1" customWidth="1" outlineLevel="1"/>
    <col min="58" max="58" width="10.875" style="7" hidden="1" customWidth="1" outlineLevel="1"/>
    <col min="59" max="59" width="14.875" style="7" hidden="1" customWidth="1" outlineLevel="1"/>
    <col min="60" max="60" width="1.25" style="7" hidden="1" customWidth="1" outlineLevel="1"/>
    <col min="61" max="61" width="10.875" style="7" hidden="1" customWidth="1" outlineLevel="1"/>
    <col min="62" max="62" width="14.875" style="7" hidden="1" customWidth="1" outlineLevel="1"/>
    <col min="63" max="63" width="16.875" style="7" collapsed="1"/>
    <col min="64" max="16384" width="16.875" style="7"/>
  </cols>
  <sheetData>
    <row r="1" spans="1:62" s="5" customFormat="1" ht="22.15" customHeight="1" x14ac:dyDescent="0.25">
      <c r="A1" s="40" t="s">
        <v>28</v>
      </c>
      <c r="B1" s="7"/>
      <c r="E1" s="359" t="s">
        <v>786</v>
      </c>
      <c r="I1" s="7"/>
      <c r="N1" s="359"/>
      <c r="Q1" s="16"/>
      <c r="R1" s="16"/>
    </row>
    <row r="2" spans="1:62" s="5" customFormat="1" ht="15.6" customHeight="1" x14ac:dyDescent="0.2">
      <c r="A2" s="360" t="s">
        <v>160</v>
      </c>
      <c r="B2" s="7"/>
      <c r="C2" s="291"/>
      <c r="D2" s="359"/>
      <c r="E2" s="359" t="s">
        <v>32</v>
      </c>
      <c r="I2" s="7"/>
      <c r="M2" s="364"/>
      <c r="N2" s="359"/>
      <c r="O2" s="359"/>
      <c r="P2" s="359"/>
      <c r="Q2" s="16"/>
      <c r="R2" s="16"/>
    </row>
    <row r="3" spans="1:62" s="5" customFormat="1" ht="15.6" customHeight="1" thickBot="1" x14ac:dyDescent="0.25">
      <c r="A3" s="360" t="s">
        <v>151</v>
      </c>
      <c r="B3" s="7"/>
      <c r="C3" s="495" t="str">
        <f>+'B1'!C3</f>
        <v>EU Horizon RIA ECE PhD Example</v>
      </c>
      <c r="D3" s="496"/>
      <c r="E3" s="496"/>
      <c r="F3" s="496"/>
      <c r="G3" s="496"/>
      <c r="H3" s="497"/>
      <c r="I3" s="69"/>
      <c r="J3" s="374"/>
      <c r="K3" s="374"/>
      <c r="L3" s="374"/>
      <c r="M3" s="188"/>
      <c r="N3" s="188"/>
      <c r="O3" s="372"/>
      <c r="P3" s="372"/>
      <c r="Q3" s="177"/>
      <c r="R3" s="177"/>
      <c r="S3" s="365"/>
      <c r="T3" s="188"/>
      <c r="U3" s="373"/>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60" t="s">
        <v>792</v>
      </c>
      <c r="B4" s="7"/>
      <c r="C4" s="498" t="str">
        <f>+'B1'!C4</f>
        <v>NN ECE</v>
      </c>
      <c r="D4" s="499"/>
      <c r="E4" s="499"/>
      <c r="F4" s="499"/>
      <c r="G4" s="499"/>
      <c r="H4" s="500"/>
      <c r="I4" s="69"/>
      <c r="J4" s="356"/>
      <c r="K4" s="356"/>
      <c r="L4" s="375"/>
      <c r="M4" s="352" t="s">
        <v>604</v>
      </c>
      <c r="N4" s="353">
        <f>IFERROR((R79-R74+R102-R116)/(R74-R102+R116),0)</f>
        <v>0</v>
      </c>
      <c r="O4" s="372"/>
      <c r="P4" s="372"/>
      <c r="Q4" s="177"/>
      <c r="R4" s="177"/>
      <c r="S4"/>
      <c r="T4" s="188"/>
      <c r="U4" s="373"/>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60" t="s">
        <v>659</v>
      </c>
      <c r="B5" s="7"/>
      <c r="C5" s="498"/>
      <c r="D5" s="499"/>
      <c r="E5" s="499"/>
      <c r="F5" s="499"/>
      <c r="G5" s="499"/>
      <c r="H5" s="500"/>
      <c r="I5" s="69"/>
      <c r="J5" s="356"/>
      <c r="K5" s="356"/>
      <c r="L5" s="376"/>
      <c r="M5" s="354" t="s">
        <v>660</v>
      </c>
      <c r="N5" s="355">
        <f>IFERROR((AC116/AC58),0)</f>
        <v>0</v>
      </c>
      <c r="O5" s="365"/>
      <c r="P5" s="365"/>
      <c r="Q5" s="177"/>
      <c r="R5" s="177"/>
      <c r="S5" s="188"/>
      <c r="T5" s="188"/>
      <c r="U5" s="373"/>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60" t="s">
        <v>29</v>
      </c>
      <c r="B6" s="7"/>
      <c r="C6" s="292">
        <f>IFERROR(IF(C12=Lister!A42,110,IF(C8=Lister!O5,5,VLOOKUP(C5,Lister!I20:O45,5,FALSE))),0)</f>
        <v>0</v>
      </c>
      <c r="D6" s="512" t="s">
        <v>31</v>
      </c>
      <c r="E6" s="513"/>
      <c r="F6" s="513"/>
      <c r="G6" s="516" t="str">
        <f>IFERROR(VLOOKUP(C5,Lister!I19:S45,9,FALSE),"Salary and operations")</f>
        <v>Salary and operations</v>
      </c>
      <c r="H6" s="521"/>
      <c r="I6" s="75"/>
      <c r="J6" s="356"/>
      <c r="K6" s="356"/>
      <c r="L6" s="376"/>
      <c r="M6" s="354" t="s">
        <v>724</v>
      </c>
      <c r="N6" s="355">
        <f>IFERROR(AC93/AC63,0)</f>
        <v>0</v>
      </c>
      <c r="O6" s="365"/>
      <c r="P6" s="365"/>
      <c r="Q6" s="177"/>
      <c r="R6" s="377"/>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60" t="s">
        <v>30</v>
      </c>
      <c r="B7" s="7"/>
      <c r="C7" s="292">
        <f>IFERROR(IF(C12=Lister!A42,1460,VLOOKUP(C5,Lister!I20:M45,3,FALSE)),0)</f>
        <v>0</v>
      </c>
      <c r="D7" s="504" t="s">
        <v>803</v>
      </c>
      <c r="E7" s="505"/>
      <c r="F7" s="506"/>
      <c r="G7" s="516" t="str">
        <f>IFERROR(VLOOKUP(C5,Lister!I19:S45,11,FALSE),"Salary and operations")</f>
        <v>Salary and operations</v>
      </c>
      <c r="H7" s="521"/>
      <c r="I7" s="72"/>
      <c r="J7" s="356"/>
      <c r="K7" s="356"/>
      <c r="L7" s="356"/>
      <c r="M7" s="356"/>
      <c r="N7" s="357"/>
      <c r="O7" s="365"/>
      <c r="P7" s="365"/>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498" t="str">
        <f>IFERROR((VLOOKUP(C5,Lister!I20:O45,7,FALSE)),"None")</f>
        <v>None</v>
      </c>
      <c r="D8" s="500"/>
      <c r="E8" s="4" t="s">
        <v>544</v>
      </c>
      <c r="F8" s="4"/>
      <c r="G8" s="366"/>
      <c r="H8" s="296"/>
      <c r="I8" s="69"/>
      <c r="J8" s="374"/>
      <c r="K8" s="374"/>
      <c r="L8" s="374"/>
      <c r="M8" s="4"/>
      <c r="N8" s="365"/>
      <c r="O8" s="365"/>
      <c r="P8" s="365"/>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61" t="s">
        <v>1137</v>
      </c>
      <c r="B9" s="232"/>
      <c r="C9" s="351">
        <f>+'B1'!C9</f>
        <v>0</v>
      </c>
      <c r="D9" s="367"/>
      <c r="E9" s="361"/>
      <c r="F9" s="361"/>
      <c r="G9" s="369" t="s">
        <v>1138</v>
      </c>
      <c r="H9" s="351">
        <f>+'B1'!H9</f>
        <v>0</v>
      </c>
      <c r="I9" s="271"/>
      <c r="J9" s="374"/>
      <c r="K9" s="374"/>
      <c r="L9" s="374"/>
      <c r="M9" s="365"/>
      <c r="N9" s="365"/>
      <c r="O9" s="365"/>
      <c r="P9" s="365"/>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1325</v>
      </c>
      <c r="B10" s="232"/>
      <c r="C10" s="293" t="str">
        <f>+IF(C2="FOOD","Yes","No")</f>
        <v>No</v>
      </c>
      <c r="D10" s="368"/>
      <c r="E10" s="361"/>
      <c r="F10" s="361"/>
      <c r="G10" s="369"/>
      <c r="H10" s="370"/>
      <c r="I10" s="117"/>
      <c r="J10" s="374"/>
      <c r="K10" s="374"/>
      <c r="L10" s="374"/>
      <c r="M10" s="371"/>
      <c r="N10" s="365"/>
      <c r="O10" s="365"/>
      <c r="P10" s="365"/>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149999999999999" customHeight="1" thickBot="1" x14ac:dyDescent="0.3">
      <c r="A11" s="362" t="s">
        <v>1313</v>
      </c>
      <c r="B11" s="273"/>
      <c r="C11" s="397"/>
      <c r="D11" s="398"/>
      <c r="E11" s="398"/>
      <c r="F11" s="398"/>
      <c r="G11" s="399"/>
      <c r="H11" s="399"/>
      <c r="I11" s="274"/>
      <c r="J11" s="379"/>
      <c r="K11" s="379"/>
      <c r="L11" s="379"/>
      <c r="M11" s="380"/>
      <c r="N11" s="380"/>
      <c r="O11" s="381"/>
      <c r="P11" s="382"/>
      <c r="Q11" s="383"/>
      <c r="R11" s="38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row>
    <row r="12" spans="1:62" s="5" customFormat="1" ht="15.6" customHeight="1" x14ac:dyDescent="0.2">
      <c r="A12" s="116" t="s">
        <v>804</v>
      </c>
      <c r="B12" s="7"/>
      <c r="C12" s="294"/>
      <c r="D12" s="505"/>
      <c r="E12" s="505"/>
      <c r="F12" s="505"/>
      <c r="G12" s="505"/>
      <c r="H12" s="400"/>
      <c r="I12" s="69"/>
      <c r="J12" s="518"/>
      <c r="K12" s="519"/>
      <c r="L12" s="519"/>
      <c r="M12" s="519"/>
      <c r="N12" s="519"/>
      <c r="O12" s="520"/>
      <c r="P12" s="384"/>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545</v>
      </c>
      <c r="B13" s="7"/>
      <c r="C13" s="295">
        <f>+IF(C12=2,10,0)</f>
        <v>0</v>
      </c>
      <c r="D13" s="504"/>
      <c r="E13" s="505"/>
      <c r="F13" s="505"/>
      <c r="G13" s="505"/>
      <c r="H13" s="401"/>
      <c r="I13" s="86"/>
      <c r="J13" s="404"/>
      <c r="K13" s="404"/>
      <c r="L13" s="404"/>
      <c r="M13" s="404"/>
      <c r="N13" s="404"/>
      <c r="O13" s="405"/>
      <c r="P13" s="404"/>
      <c r="Q13" s="388"/>
      <c r="R13" s="388"/>
      <c r="S13" s="388" t="s">
        <v>657</v>
      </c>
      <c r="T13" s="388"/>
      <c r="U13" s="388"/>
      <c r="V13" s="388"/>
      <c r="W13" s="388"/>
      <c r="X13" s="3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547</v>
      </c>
      <c r="B14" s="9"/>
      <c r="C14" s="295"/>
      <c r="D14" s="507" t="s">
        <v>765</v>
      </c>
      <c r="E14" s="508"/>
      <c r="F14" s="508"/>
      <c r="G14" s="508"/>
      <c r="H14" s="509"/>
      <c r="I14" s="297"/>
      <c r="J14" s="389"/>
      <c r="K14" s="390"/>
      <c r="L14" s="404"/>
      <c r="M14" s="404"/>
      <c r="N14" s="404"/>
      <c r="O14" s="405"/>
      <c r="P14" s="404"/>
      <c r="Q14" s="388"/>
      <c r="R14" s="388"/>
      <c r="S14" s="388"/>
      <c r="T14" s="388"/>
      <c r="U14" s="388"/>
      <c r="V14" s="388"/>
      <c r="W14" s="388"/>
      <c r="X14" s="3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548</v>
      </c>
      <c r="B15" s="7"/>
      <c r="C15" s="295"/>
      <c r="D15" s="403"/>
      <c r="E15" s="391"/>
      <c r="F15" s="391"/>
      <c r="G15" s="391"/>
      <c r="H15" s="391"/>
      <c r="I15" s="261"/>
      <c r="J15" s="391"/>
      <c r="K15" s="391"/>
      <c r="L15" s="384"/>
      <c r="M15" s="404"/>
      <c r="N15" s="404"/>
      <c r="O15" s="405"/>
      <c r="P15" s="404"/>
      <c r="Q15" s="388"/>
      <c r="R15" s="388"/>
      <c r="S15" s="388"/>
      <c r="T15" s="388"/>
      <c r="U15" s="388"/>
      <c r="V15" s="388"/>
      <c r="W15" s="388"/>
      <c r="X15" s="3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805</v>
      </c>
      <c r="B16" s="7"/>
      <c r="C16" s="295"/>
      <c r="D16" s="507" t="s">
        <v>766</v>
      </c>
      <c r="E16" s="510"/>
      <c r="F16" s="510"/>
      <c r="G16" s="510"/>
      <c r="H16" s="511"/>
      <c r="I16" s="298"/>
      <c r="J16" s="389"/>
      <c r="K16" s="390"/>
      <c r="L16" s="392"/>
      <c r="M16" s="392"/>
      <c r="N16" s="392"/>
      <c r="O16" s="393"/>
      <c r="P16" s="394"/>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s="5" customFormat="1" ht="15.6" customHeight="1" thickBot="1" x14ac:dyDescent="0.3">
      <c r="A17" s="363"/>
      <c r="B17" s="117"/>
      <c r="C17" s="257"/>
      <c r="D17" s="118"/>
      <c r="E17" s="258"/>
      <c r="F17" s="258"/>
      <c r="G17" s="258"/>
      <c r="H17" s="259"/>
      <c r="I17" s="259"/>
      <c r="J17" s="395"/>
      <c r="K17" s="395"/>
      <c r="L17" s="395"/>
      <c r="M17" s="395"/>
      <c r="N17" s="395"/>
      <c r="O17" s="396"/>
      <c r="P17" s="394"/>
      <c r="Q17" s="177"/>
      <c r="R17" s="17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row>
    <row r="18" spans="1:62" ht="15.6" customHeight="1" x14ac:dyDescent="0.2">
      <c r="A18" s="63"/>
      <c r="D18" s="9"/>
      <c r="V18" s="240" t="s">
        <v>658</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3" t="s">
        <v>34</v>
      </c>
      <c r="AF19" s="502"/>
      <c r="AH19" s="501">
        <f>+S19</f>
        <v>2025</v>
      </c>
      <c r="AI19" s="502"/>
      <c r="AJ19" s="232"/>
      <c r="AK19" s="503">
        <f>+T19</f>
        <v>2026</v>
      </c>
      <c r="AL19" s="502"/>
      <c r="AM19" s="232"/>
      <c r="AN19" s="503">
        <f>+U19</f>
        <v>2027</v>
      </c>
      <c r="AO19" s="502"/>
      <c r="AQ19" s="503">
        <f>+V19</f>
        <v>2028</v>
      </c>
      <c r="AR19" s="502"/>
      <c r="AS19" s="232"/>
      <c r="AT19" s="503">
        <f>+W19</f>
        <v>2029</v>
      </c>
      <c r="AU19" s="502"/>
      <c r="AW19" s="503">
        <f>+X19</f>
        <v>2030</v>
      </c>
      <c r="AX19" s="502"/>
      <c r="AY19" s="232"/>
      <c r="AZ19" s="503">
        <f>Y19</f>
        <v>2031</v>
      </c>
      <c r="BA19" s="502"/>
      <c r="BB19" s="232"/>
      <c r="BC19" s="503">
        <f>+Z19</f>
        <v>2032</v>
      </c>
      <c r="BD19" s="502"/>
      <c r="BE19" s="232"/>
      <c r="BF19" s="503">
        <f>+AA19</f>
        <v>2033</v>
      </c>
      <c r="BG19" s="502"/>
      <c r="BH19" s="232"/>
      <c r="BI19" s="503">
        <f>+AB19</f>
        <v>2034</v>
      </c>
      <c r="BJ19" s="502"/>
    </row>
    <row r="20" spans="1:62" ht="15.6" customHeight="1" x14ac:dyDescent="0.2">
      <c r="A20" s="223" t="s">
        <v>1314</v>
      </c>
      <c r="B20" s="224" t="str">
        <f>+VLOOKUP(A20,Takstblad!$A$5:$B$30,2,FALSE)</f>
        <v/>
      </c>
      <c r="C20" s="299"/>
      <c r="D20" s="299"/>
      <c r="E20" s="299"/>
      <c r="F20" s="299"/>
      <c r="G20" s="299"/>
      <c r="H20" s="299"/>
      <c r="I20" s="299"/>
      <c r="J20" s="299"/>
      <c r="K20" s="299"/>
      <c r="L20" s="299"/>
      <c r="M20" s="19">
        <f>SUM(C20:L20)</f>
        <v>0</v>
      </c>
      <c r="N20" s="299"/>
      <c r="O20" s="299" t="s">
        <v>113</v>
      </c>
      <c r="P20" s="223"/>
      <c r="Q20" s="225"/>
      <c r="R20" s="227">
        <f>+AC20</f>
        <v>0</v>
      </c>
      <c r="S20" s="226">
        <f>+IFERROR(IF(S$19=Takstblad!C$3,VLOOKUP('B2'!$A20,takstblad,3,FALSE)*'B2'!C20,"fejl i år"),0)</f>
        <v>0</v>
      </c>
      <c r="T20" s="226">
        <f>+IFERROR(IF(T$19=Takstblad!D$3,VLOOKUP('B2'!$A20,takstblad,4,FALSE)*'B2'!D20,"fejl i år"),0)</f>
        <v>0</v>
      </c>
      <c r="U20" s="226">
        <f>+IFERROR(IF(U$19=Takstblad!E$3,VLOOKUP('B2'!$A20,takstblad,5,FALSE)*'B2'!E20,"fejl i år"),0)</f>
        <v>0</v>
      </c>
      <c r="V20" s="226">
        <f>+IFERROR(IF(V$19=Takstblad!F$3,VLOOKUP('B2'!$A20,takstblad,6,FALSE)*'B2'!F20,"fejl i år"),0)</f>
        <v>0</v>
      </c>
      <c r="W20" s="226">
        <f>+IFERROR(IF(W$19=Takstblad!G$3,VLOOKUP('B2'!$A20,takstblad,7,FALSE)*'B2'!G20,"fejl i år"),0)</f>
        <v>0</v>
      </c>
      <c r="X20" s="226">
        <f>+IFERROR(IF(X$19=Takstblad!H$3,VLOOKUP('B2'!$A20,takstblad,8,FALSE)*'B2'!H20,"fejl i år"),0)</f>
        <v>0</v>
      </c>
      <c r="Y20" s="226">
        <f>+IFERROR(IF(Y$19=Takstblad!I$3,VLOOKUP('B2'!$A20,takstblad,9,FALSE)*'B2'!I20,"fejl i år"),0)</f>
        <v>0</v>
      </c>
      <c r="Z20" s="226">
        <f>+IFERROR(IF(Z$19=Takstblad!J$3,VLOOKUP('B2'!$A20,takstblad,10,FALSE)*'B2'!J20,"fejl i år"),0)</f>
        <v>0</v>
      </c>
      <c r="AA20" s="226">
        <f>+IFERROR(IF(AA$19=Takstblad!K$3,VLOOKUP('B2'!$A20,takstblad,10,FALSE)*'B2'!K20,"fejl i år"),0)</f>
        <v>0</v>
      </c>
      <c r="AB20" s="226">
        <f>+IFERROR(IF(AB$19=Takstblad!L$3,VLOOKUP('B2'!$A20,takstblad,10,FALSE)*'B2'!L20,"fejl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1314</v>
      </c>
      <c r="B21" s="4" t="str">
        <f>+VLOOKUP(A21,Takstblad!$A$5:$B$30,2,FALSE)</f>
        <v/>
      </c>
      <c r="C21" s="299"/>
      <c r="D21" s="299"/>
      <c r="E21" s="299"/>
      <c r="F21" s="299"/>
      <c r="G21" s="299"/>
      <c r="H21" s="299"/>
      <c r="I21" s="299"/>
      <c r="J21" s="299"/>
      <c r="K21" s="299"/>
      <c r="L21" s="299"/>
      <c r="M21" s="19">
        <f t="shared" ref="M21:M29" si="6">SUM(C21:L21)</f>
        <v>0</v>
      </c>
      <c r="N21" s="299"/>
      <c r="O21" s="299" t="s">
        <v>113</v>
      </c>
      <c r="Q21" s="24"/>
      <c r="R21" s="21">
        <f t="shared" ref="R21:R30" si="7">+AC21</f>
        <v>0</v>
      </c>
      <c r="S21" s="25">
        <f>+IFERROR(IF(S$19=Takstblad!C$3,VLOOKUP('B2'!$A21,takstblad,3,FALSE)*'B2'!C21,"fejl i år"),0)</f>
        <v>0</v>
      </c>
      <c r="T21" s="25">
        <f>+IFERROR(IF(T$19=Takstblad!D$3,VLOOKUP('B2'!$A21,takstblad,4,FALSE)*'B2'!D21,"fejl i år"),0)</f>
        <v>0</v>
      </c>
      <c r="U21" s="25">
        <f>+IFERROR(IF(U$19=Takstblad!E$3,VLOOKUP('B2'!$A21,takstblad,5,FALSE)*'B2'!E21,"fejl i år"),0)</f>
        <v>0</v>
      </c>
      <c r="V21" s="25">
        <f>+IFERROR(IF(V$19=Takstblad!F$3,VLOOKUP('B2'!$A21,takstblad,6,FALSE)*'B2'!F21,"fejl i år"),0)</f>
        <v>0</v>
      </c>
      <c r="W21" s="25">
        <f>+IFERROR(IF(W$19=Takstblad!G$3,VLOOKUP('B2'!$A21,takstblad,7,FALSE)*'B2'!G21,"fejl i år"),0)</f>
        <v>0</v>
      </c>
      <c r="X21" s="25">
        <f>+IFERROR(IF(X$19=Takstblad!H$3,VLOOKUP('B2'!$A21,takstblad,8,FALSE)*'B2'!H21,"fejl i år"),0)</f>
        <v>0</v>
      </c>
      <c r="Y21" s="25">
        <f>+IFERROR(IF(Y$19=Takstblad!I$3,VLOOKUP('B2'!$A21,takstblad,9,FALSE)*'B2'!I21,"fejl i år"),0)</f>
        <v>0</v>
      </c>
      <c r="Z21" s="25">
        <f>+IFERROR(IF(Z$19=Takstblad!J$3,VLOOKUP('B2'!$A21,takstblad,10,FALSE)*'B2'!J21,"fejl i år"),0)</f>
        <v>0</v>
      </c>
      <c r="AA21" s="25">
        <f>+IFERROR(IF(AA$19=Takstblad!K$3,VLOOKUP('B2'!$A21,takstblad,10,FALSE)*'B2'!K21,"fejl i år"),0)</f>
        <v>0</v>
      </c>
      <c r="AB21" s="25">
        <f>+IFERROR(IF(AB$19=Takstblad!L$3,VLOOKUP('B2'!$A21,takstblad,10,FALSE)*'B2'!L21,"fejl i år"),0)</f>
        <v>0</v>
      </c>
      <c r="AC21" s="21">
        <f t="shared" ref="AC21:AC30" si="8">SUM(S21:AB21)</f>
        <v>0</v>
      </c>
      <c r="AD21" s="232"/>
      <c r="AE21" s="25">
        <f t="shared" ref="AE21:AE29" si="9">+M21*($C$7/12)</f>
        <v>0</v>
      </c>
      <c r="AF21" s="25">
        <f t="shared" ref="AF21:AF30" si="10">IFERROR(AC21/AE21,0)</f>
        <v>0</v>
      </c>
      <c r="AG21" s="232"/>
      <c r="AH21" s="25">
        <f t="shared" ref="AH21:AH29" si="11">+C21*($C$7/12)</f>
        <v>0</v>
      </c>
      <c r="AI21" s="25">
        <f t="shared" ref="AI21:AI30" si="12">IFERROR(S21/AH21,0)</f>
        <v>0</v>
      </c>
      <c r="AJ21" s="232"/>
      <c r="AK21" s="25">
        <f t="shared" ref="AK21:AK29" si="13">+D21*($C$7/12)</f>
        <v>0</v>
      </c>
      <c r="AL21" s="25">
        <f t="shared" ref="AL21:AL30" si="14">IFERROR(T21/AK21,0)</f>
        <v>0</v>
      </c>
      <c r="AM21" s="232"/>
      <c r="AN21" s="25">
        <f t="shared" ref="AN21:AN29" si="15">+E21*($C$7/12)</f>
        <v>0</v>
      </c>
      <c r="AO21" s="25">
        <f t="shared" ref="AO21:AO30" si="16">IFERROR(U21/AN21,0)</f>
        <v>0</v>
      </c>
      <c r="AP21" s="232"/>
      <c r="AQ21" s="25">
        <f t="shared" ref="AQ21:AQ29" si="17">+F21*($C$7/12)</f>
        <v>0</v>
      </c>
      <c r="AR21" s="25">
        <f t="shared" ref="AR21:AR30" si="18">IFERROR(V21/AQ21,0)</f>
        <v>0</v>
      </c>
      <c r="AS21" s="232"/>
      <c r="AT21" s="25">
        <f t="shared" ref="AT21:AT29" si="19">+G21*($C$7/12)</f>
        <v>0</v>
      </c>
      <c r="AU21" s="25">
        <f t="shared" ref="AU21:AU30" si="20">IFERROR(W21/AT21,0)</f>
        <v>0</v>
      </c>
      <c r="AV21" s="232"/>
      <c r="AW21" s="25">
        <f t="shared" ref="AW21:AW29" si="21">+H21*($C$7/12)</f>
        <v>0</v>
      </c>
      <c r="AX21" s="25">
        <f t="shared" ref="AX21:AX30"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1314</v>
      </c>
      <c r="B22" s="224" t="str">
        <f>+VLOOKUP(A22,Takstblad!$A$5:$B$30,2,FALSE)</f>
        <v/>
      </c>
      <c r="C22" s="299"/>
      <c r="D22" s="299"/>
      <c r="E22" s="299"/>
      <c r="F22" s="299"/>
      <c r="G22" s="299"/>
      <c r="H22" s="299"/>
      <c r="I22" s="299"/>
      <c r="J22" s="299"/>
      <c r="K22" s="299"/>
      <c r="L22" s="299"/>
      <c r="M22" s="19">
        <f t="shared" si="6"/>
        <v>0</v>
      </c>
      <c r="N22" s="299"/>
      <c r="O22" s="299" t="s">
        <v>113</v>
      </c>
      <c r="P22" s="223"/>
      <c r="Q22" s="225"/>
      <c r="R22" s="227">
        <f t="shared" si="7"/>
        <v>0</v>
      </c>
      <c r="S22" s="226">
        <f>+IFERROR(IF(S$19=Takstblad!C$3,VLOOKUP('B2'!$A22,takstblad,3,FALSE)*'B2'!C22,"fejl i år"),0)</f>
        <v>0</v>
      </c>
      <c r="T22" s="226">
        <f>+IFERROR(IF(T$19=Takstblad!D$3,VLOOKUP('B2'!$A22,takstblad,4,FALSE)*'B2'!D22,"fejl i år"),0)</f>
        <v>0</v>
      </c>
      <c r="U22" s="226">
        <f>+IFERROR(IF(U$19=Takstblad!E$3,VLOOKUP('B2'!$A22,takstblad,5,FALSE)*'B2'!E22,"fejl i år"),0)</f>
        <v>0</v>
      </c>
      <c r="V22" s="226">
        <f>+IFERROR(IF(V$19=Takstblad!F$3,VLOOKUP('B2'!$A22,takstblad,6,FALSE)*'B2'!F22,"fejl i år"),0)</f>
        <v>0</v>
      </c>
      <c r="W22" s="226">
        <f>+IFERROR(IF(W$19=Takstblad!G$3,VLOOKUP('B2'!$A22,takstblad,7,FALSE)*'B2'!G22,"fejl i år"),0)</f>
        <v>0</v>
      </c>
      <c r="X22" s="226">
        <f>+IFERROR(IF(X$19=Takstblad!H$3,VLOOKUP('B2'!$A22,takstblad,8,FALSE)*'B2'!H22,"fejl i år"),0)</f>
        <v>0</v>
      </c>
      <c r="Y22" s="226">
        <f>+IFERROR(IF(Y$19=Takstblad!I$3,VLOOKUP('B2'!$A22,takstblad,9,FALSE)*'B2'!I22,"fejl i år"),0)</f>
        <v>0</v>
      </c>
      <c r="Z22" s="226">
        <f>+IFERROR(IF(Z$19=Takstblad!J$3,VLOOKUP('B2'!$A22,takstblad,10,FALSE)*'B2'!J22,"fejl i år"),0)</f>
        <v>0</v>
      </c>
      <c r="AA22" s="226">
        <f>+IFERROR(IF(AA$19=Takstblad!K$3,VLOOKUP('B2'!$A22,takstblad,10,FALSE)*'B2'!K22,"fejl i år"),0)</f>
        <v>0</v>
      </c>
      <c r="AB22" s="226">
        <f>+IFERROR(IF(AB$19=Takstblad!L$3,VLOOKUP('B2'!$A22,takstblad,10,FALSE)*'B2'!L22,"fejl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1314</v>
      </c>
      <c r="B23" s="4" t="str">
        <f>+VLOOKUP(A23,Takstblad!$A$5:$B$30,2,FALSE)</f>
        <v/>
      </c>
      <c r="C23" s="299"/>
      <c r="D23" s="299"/>
      <c r="E23" s="299"/>
      <c r="F23" s="299"/>
      <c r="G23" s="299"/>
      <c r="H23" s="299"/>
      <c r="I23" s="299"/>
      <c r="J23" s="299"/>
      <c r="K23" s="299"/>
      <c r="L23" s="299"/>
      <c r="M23" s="19">
        <f t="shared" si="6"/>
        <v>0</v>
      </c>
      <c r="N23" s="299"/>
      <c r="O23" s="299" t="s">
        <v>113</v>
      </c>
      <c r="Q23" s="16"/>
      <c r="R23" s="21">
        <f t="shared" si="7"/>
        <v>0</v>
      </c>
      <c r="S23" s="25">
        <f>+IFERROR(IF(S$19=Takstblad!C$3,VLOOKUP('B2'!$A23,takstblad,3,FALSE)*'B2'!C23,"fejl i år"),0)</f>
        <v>0</v>
      </c>
      <c r="T23" s="25">
        <f>+IFERROR(IF(T$19=Takstblad!D$3,VLOOKUP('B2'!$A23,takstblad,4,FALSE)*'B2'!D23,"fejl i år"),0)</f>
        <v>0</v>
      </c>
      <c r="U23" s="25">
        <f>+IFERROR(IF(U$19=Takstblad!E$3,VLOOKUP('B2'!$A23,takstblad,5,FALSE)*'B2'!E23,"fejl i år"),0)</f>
        <v>0</v>
      </c>
      <c r="V23" s="25">
        <f>+IFERROR(IF(V$19=Takstblad!F$3,VLOOKUP('B2'!$A23,takstblad,6,FALSE)*'B2'!F23,"fejl i år"),0)</f>
        <v>0</v>
      </c>
      <c r="W23" s="25">
        <f>+IFERROR(IF(W$19=Takstblad!G$3,VLOOKUP('B2'!$A23,takstblad,7,FALSE)*'B2'!G23,"fejl i år"),0)</f>
        <v>0</v>
      </c>
      <c r="X23" s="25">
        <f>+IFERROR(IF(X$19=Takstblad!H$3,VLOOKUP('B2'!$A23,takstblad,8,FALSE)*'B2'!H23,"fejl i år"),0)</f>
        <v>0</v>
      </c>
      <c r="Y23" s="25">
        <f>+IFERROR(IF(Y$19=Takstblad!I$3,VLOOKUP('B2'!$A23,takstblad,9,FALSE)*'B2'!I23,"fejl i år"),0)</f>
        <v>0</v>
      </c>
      <c r="Z23" s="25">
        <f>+IFERROR(IF(Z$19=Takstblad!J$3,VLOOKUP('B2'!$A23,takstblad,10,FALSE)*'B2'!J23,"fejl i år"),0)</f>
        <v>0</v>
      </c>
      <c r="AA23" s="25">
        <f>+IFERROR(IF(AA$19=Takstblad!K$3,VLOOKUP('B2'!$A23,takstblad,10,FALSE)*'B2'!K23,"fejl i år"),0)</f>
        <v>0</v>
      </c>
      <c r="AB23" s="25">
        <f>+IFERROR(IF(AB$19=Takstblad!L$3,VLOOKUP('B2'!$A23,takstblad,10,FALSE)*'B2'!L23,"fejl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1314</v>
      </c>
      <c r="B24" s="224" t="str">
        <f>+VLOOKUP(A24,Takstblad!$A$5:$B$30,2,FALSE)</f>
        <v/>
      </c>
      <c r="C24" s="299"/>
      <c r="D24" s="299"/>
      <c r="E24" s="299"/>
      <c r="F24" s="299"/>
      <c r="G24" s="299"/>
      <c r="H24" s="299"/>
      <c r="I24" s="299"/>
      <c r="J24" s="299"/>
      <c r="K24" s="299"/>
      <c r="L24" s="299"/>
      <c r="M24" s="19">
        <f t="shared" si="6"/>
        <v>0</v>
      </c>
      <c r="N24" s="299"/>
      <c r="O24" s="299" t="s">
        <v>113</v>
      </c>
      <c r="P24" s="223"/>
      <c r="Q24" s="225"/>
      <c r="R24" s="227">
        <f t="shared" si="7"/>
        <v>0</v>
      </c>
      <c r="S24" s="226">
        <f>+IFERROR(IF(S$19=Takstblad!C$3,VLOOKUP('B2'!$A24,takstblad,3,FALSE)*'B2'!C24,"fejl i år"),0)</f>
        <v>0</v>
      </c>
      <c r="T24" s="226">
        <f>+IFERROR(IF(T$19=Takstblad!D$3,VLOOKUP('B2'!$A24,takstblad,4,FALSE)*'B2'!D24,"fejl i år"),0)</f>
        <v>0</v>
      </c>
      <c r="U24" s="226">
        <f>+IFERROR(IF(U$19=Takstblad!E$3,VLOOKUP('B2'!$A24,takstblad,5,FALSE)*'B2'!E24,"fejl i år"),0)</f>
        <v>0</v>
      </c>
      <c r="V24" s="226">
        <f>+IFERROR(IF(V$19=Takstblad!F$3,VLOOKUP('B2'!$A24,takstblad,6,FALSE)*'B2'!F24,"fejl i år"),0)</f>
        <v>0</v>
      </c>
      <c r="W24" s="226">
        <f>+IFERROR(IF(W$19=Takstblad!G$3,VLOOKUP('B2'!$A24,takstblad,7,FALSE)*'B2'!G24,"fejl i år"),0)</f>
        <v>0</v>
      </c>
      <c r="X24" s="226">
        <f>+IFERROR(IF(X$19=Takstblad!H$3,VLOOKUP('B2'!$A24,takstblad,8,FALSE)*'B2'!H24,"fejl i år"),0)</f>
        <v>0</v>
      </c>
      <c r="Y24" s="226">
        <f>+IFERROR(IF(Y$19=Takstblad!I$3,VLOOKUP('B2'!$A24,takstblad,9,FALSE)*'B2'!I24,"fejl i år"),0)</f>
        <v>0</v>
      </c>
      <c r="Z24" s="226">
        <f>+IFERROR(IF(Z$19=Takstblad!J$3,VLOOKUP('B2'!$A24,takstblad,10,FALSE)*'B2'!J24,"fejl i år"),0)</f>
        <v>0</v>
      </c>
      <c r="AA24" s="226">
        <f>+IFERROR(IF(AA$19=Takstblad!K$3,VLOOKUP('B2'!$A24,takstblad,10,FALSE)*'B2'!K24,"fejl i år"),0)</f>
        <v>0</v>
      </c>
      <c r="AB24" s="226">
        <f>+IFERROR(IF(AB$19=Takstblad!L$3,VLOOKUP('B2'!$A24,takstblad,10,FALSE)*'B2'!L24,"fejl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1314</v>
      </c>
      <c r="B25" s="4" t="str">
        <f>+VLOOKUP(A25,Takstblad!$A$5:$B$30,2,FALSE)</f>
        <v/>
      </c>
      <c r="C25" s="299"/>
      <c r="D25" s="299"/>
      <c r="E25" s="299"/>
      <c r="F25" s="299"/>
      <c r="G25" s="299"/>
      <c r="H25" s="299"/>
      <c r="I25" s="299"/>
      <c r="J25" s="299"/>
      <c r="K25" s="299"/>
      <c r="L25" s="299"/>
      <c r="M25" s="19">
        <f t="shared" si="6"/>
        <v>0</v>
      </c>
      <c r="N25" s="299"/>
      <c r="O25" s="299" t="s">
        <v>113</v>
      </c>
      <c r="Q25" s="16"/>
      <c r="R25" s="21">
        <f t="shared" si="7"/>
        <v>0</v>
      </c>
      <c r="S25" s="25">
        <f>+IFERROR(IF(S$19=Takstblad!C$3,VLOOKUP('B2'!$A25,takstblad,3,FALSE)*'B2'!C25,"fejl i år"),0)</f>
        <v>0</v>
      </c>
      <c r="T25" s="25">
        <f>+IFERROR(IF(T$19=Takstblad!D$3,VLOOKUP('B2'!$A25,takstblad,4,FALSE)*'B2'!D25,"fejl i år"),0)</f>
        <v>0</v>
      </c>
      <c r="U25" s="25">
        <f>+IFERROR(IF(U$19=Takstblad!E$3,VLOOKUP('B2'!$A25,takstblad,5,FALSE)*'B2'!E25,"fejl i år"),0)</f>
        <v>0</v>
      </c>
      <c r="V25" s="25">
        <f>+IFERROR(IF(V$19=Takstblad!F$3,VLOOKUP('B2'!$A25,takstblad,6,FALSE)*'B2'!F25,"fejl i år"),0)</f>
        <v>0</v>
      </c>
      <c r="W25" s="25">
        <f>+IFERROR(IF(W$19=Takstblad!G$3,VLOOKUP('B2'!$A25,takstblad,7,FALSE)*'B2'!G25,"fejl i år"),0)</f>
        <v>0</v>
      </c>
      <c r="X25" s="25">
        <f>+IFERROR(IF(X$19=Takstblad!H$3,VLOOKUP('B2'!$A25,takstblad,8,FALSE)*'B2'!H25,"fejl i år"),0)</f>
        <v>0</v>
      </c>
      <c r="Y25" s="25">
        <f>+IFERROR(IF(Y$19=Takstblad!I$3,VLOOKUP('B2'!$A25,takstblad,9,FALSE)*'B2'!I25,"fejl i år"),0)</f>
        <v>0</v>
      </c>
      <c r="Z25" s="25">
        <f>+IFERROR(IF(Z$19=Takstblad!J$3,VLOOKUP('B2'!$A25,takstblad,10,FALSE)*'B2'!J25,"fejl i år"),0)</f>
        <v>0</v>
      </c>
      <c r="AA25" s="25">
        <f>+IFERROR(IF(AA$19=Takstblad!K$3,VLOOKUP('B2'!$A25,takstblad,10,FALSE)*'B2'!K25,"fejl i år"),0)</f>
        <v>0</v>
      </c>
      <c r="AB25" s="25">
        <f>+IFERROR(IF(AB$19=Takstblad!L$3,VLOOKUP('B2'!$A25,takstblad,10,FALSE)*'B2'!L25,"fejl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1314</v>
      </c>
      <c r="B26" s="224" t="str">
        <f>+VLOOKUP(A26,Takstblad!$A$5:$B$30,2,FALSE)</f>
        <v/>
      </c>
      <c r="C26" s="299"/>
      <c r="D26" s="299"/>
      <c r="E26" s="299"/>
      <c r="F26" s="299"/>
      <c r="G26" s="299"/>
      <c r="H26" s="299"/>
      <c r="I26" s="299"/>
      <c r="J26" s="299"/>
      <c r="K26" s="299"/>
      <c r="L26" s="299"/>
      <c r="M26" s="19">
        <f t="shared" si="6"/>
        <v>0</v>
      </c>
      <c r="N26" s="299"/>
      <c r="O26" s="299" t="s">
        <v>113</v>
      </c>
      <c r="P26" s="223"/>
      <c r="Q26" s="225"/>
      <c r="R26" s="227">
        <f t="shared" si="7"/>
        <v>0</v>
      </c>
      <c r="S26" s="226">
        <f>+IFERROR(IF(S$19=Takstblad!C$3,VLOOKUP('B2'!$A26,takstblad,3,FALSE)*'B2'!C26,"fejl i år"),0)</f>
        <v>0</v>
      </c>
      <c r="T26" s="226">
        <f>+IFERROR(IF(T$19=Takstblad!D$3,VLOOKUP('B2'!$A26,takstblad,4,FALSE)*'B2'!D26,"fejl i år"),0)</f>
        <v>0</v>
      </c>
      <c r="U26" s="226">
        <f>+IFERROR(IF(U$19=Takstblad!E$3,VLOOKUP('B2'!$A26,takstblad,5,FALSE)*'B2'!E26,"fejl i år"),0)</f>
        <v>0</v>
      </c>
      <c r="V26" s="226">
        <f>+IFERROR(IF(V$19=Takstblad!F$3,VLOOKUP('B2'!$A26,takstblad,6,FALSE)*'B2'!F26,"fejl i år"),0)</f>
        <v>0</v>
      </c>
      <c r="W26" s="226">
        <f>+IFERROR(IF(W$19=Takstblad!G$3,VLOOKUP('B2'!$A26,takstblad,7,FALSE)*'B2'!G26,"fejl i år"),0)</f>
        <v>0</v>
      </c>
      <c r="X26" s="226">
        <f>+IFERROR(IF(X$19=Takstblad!H$3,VLOOKUP('B2'!$A26,takstblad,8,FALSE)*'B2'!H26,"fejl i år"),0)</f>
        <v>0</v>
      </c>
      <c r="Y26" s="226">
        <f>+IFERROR(IF(Y$19=Takstblad!I$3,VLOOKUP('B2'!$A26,takstblad,9,FALSE)*'B2'!I26,"fejl i år"),0)</f>
        <v>0</v>
      </c>
      <c r="Z26" s="226">
        <f>+IFERROR(IF(Z$19=Takstblad!J$3,VLOOKUP('B2'!$A26,takstblad,10,FALSE)*'B2'!J26,"fejl i år"),0)</f>
        <v>0</v>
      </c>
      <c r="AA26" s="226">
        <f>+IFERROR(IF(AA$19=Takstblad!K$3,VLOOKUP('B2'!$A26,takstblad,10,FALSE)*'B2'!K26,"fejl i år"),0)</f>
        <v>0</v>
      </c>
      <c r="AB26" s="226">
        <f>+IFERROR(IF(AB$19=Takstblad!L$3,VLOOKUP('B2'!$A26,takstblad,10,FALSE)*'B2'!L26,"fejl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1314</v>
      </c>
      <c r="B27" s="4" t="str">
        <f>+VLOOKUP(A27,Takstblad!$A$5:$B$30,2,FALSE)</f>
        <v/>
      </c>
      <c r="C27" s="299"/>
      <c r="D27" s="299"/>
      <c r="E27" s="299"/>
      <c r="F27" s="299"/>
      <c r="G27" s="299"/>
      <c r="H27" s="299"/>
      <c r="I27" s="299"/>
      <c r="J27" s="299"/>
      <c r="K27" s="299"/>
      <c r="L27" s="299"/>
      <c r="M27" s="19">
        <f t="shared" si="6"/>
        <v>0</v>
      </c>
      <c r="N27" s="299"/>
      <c r="O27" s="299" t="s">
        <v>113</v>
      </c>
      <c r="Q27" s="16"/>
      <c r="R27" s="21">
        <f t="shared" si="7"/>
        <v>0</v>
      </c>
      <c r="S27" s="25">
        <f>+IFERROR(IF(S$19=Takstblad!C$3,VLOOKUP('B2'!$A27,takstblad,3,FALSE)*'B2'!C27,"fejl i år"),0)</f>
        <v>0</v>
      </c>
      <c r="T27" s="25">
        <f>+IFERROR(IF(T$19=Takstblad!D$3,VLOOKUP('B2'!$A27,takstblad,4,FALSE)*'B2'!D27,"fejl i år"),0)</f>
        <v>0</v>
      </c>
      <c r="U27" s="25">
        <f>+IFERROR(IF(U$19=Takstblad!E$3,VLOOKUP('B2'!$A27,takstblad,5,FALSE)*'B2'!E27,"fejl i år"),0)</f>
        <v>0</v>
      </c>
      <c r="V27" s="25">
        <f>+IFERROR(IF(V$19=Takstblad!F$3,VLOOKUP('B2'!$A27,takstblad,6,FALSE)*'B2'!F27,"fejl i år"),0)</f>
        <v>0</v>
      </c>
      <c r="W27" s="25">
        <f>+IFERROR(IF(W$19=Takstblad!G$3,VLOOKUP('B2'!$A27,takstblad,7,FALSE)*'B2'!G27,"fejl i år"),0)</f>
        <v>0</v>
      </c>
      <c r="X27" s="25">
        <f>+IFERROR(IF(X$19=Takstblad!H$3,VLOOKUP('B2'!$A27,takstblad,8,FALSE)*'B2'!H27,"fejl i år"),0)</f>
        <v>0</v>
      </c>
      <c r="Y27" s="25">
        <f>+IFERROR(IF(Y$19=Takstblad!I$3,VLOOKUP('B2'!$A27,takstblad,9,FALSE)*'B2'!I27,"fejl i år"),0)</f>
        <v>0</v>
      </c>
      <c r="Z27" s="25">
        <f>+IFERROR(IF(Z$19=Takstblad!J$3,VLOOKUP('B2'!$A27,takstblad,10,FALSE)*'B2'!J27,"fejl i år"),0)</f>
        <v>0</v>
      </c>
      <c r="AA27" s="25">
        <f>+IFERROR(IF(AA$19=Takstblad!K$3,VLOOKUP('B2'!$A27,takstblad,10,FALSE)*'B2'!K27,"fejl i år"),0)</f>
        <v>0</v>
      </c>
      <c r="AB27" s="25">
        <f>+IFERROR(IF(AB$19=Takstblad!L$3,VLOOKUP('B2'!$A27,takstblad,10,FALSE)*'B2'!L27,"fejl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1314</v>
      </c>
      <c r="B28" s="224" t="str">
        <f>+VLOOKUP(A28,Takstblad!$A$5:$B$30,2,FALSE)</f>
        <v/>
      </c>
      <c r="C28" s="299"/>
      <c r="D28" s="299"/>
      <c r="E28" s="299"/>
      <c r="F28" s="299"/>
      <c r="G28" s="299"/>
      <c r="H28" s="299"/>
      <c r="I28" s="299"/>
      <c r="J28" s="299"/>
      <c r="K28" s="299"/>
      <c r="L28" s="299"/>
      <c r="M28" s="19">
        <f t="shared" si="6"/>
        <v>0</v>
      </c>
      <c r="N28" s="299"/>
      <c r="O28" s="299" t="s">
        <v>113</v>
      </c>
      <c r="P28" s="223"/>
      <c r="Q28" s="225"/>
      <c r="R28" s="227">
        <f t="shared" si="7"/>
        <v>0</v>
      </c>
      <c r="S28" s="226">
        <f>+IFERROR(IF(S$19=Takstblad!C$3,VLOOKUP('B2'!$A28,takstblad,3,FALSE)*'B2'!C28,"fejl i år"),0)</f>
        <v>0</v>
      </c>
      <c r="T28" s="226">
        <f>+IFERROR(IF(T$19=Takstblad!D$3,VLOOKUP('B2'!$A28,takstblad,4,FALSE)*'B2'!D28,"fejl i år"),0)</f>
        <v>0</v>
      </c>
      <c r="U28" s="226">
        <f>+IFERROR(IF(U$19=Takstblad!E$3,VLOOKUP('B2'!$A28,takstblad,5,FALSE)*'B2'!E28,"fejl i år"),0)</f>
        <v>0</v>
      </c>
      <c r="V28" s="226">
        <f>+IFERROR(IF(V$19=Takstblad!F$3,VLOOKUP('B2'!$A28,takstblad,6,FALSE)*'B2'!F28,"fejl i år"),0)</f>
        <v>0</v>
      </c>
      <c r="W28" s="226">
        <f>+IFERROR(IF(W$19=Takstblad!G$3,VLOOKUP('B2'!$A28,takstblad,7,FALSE)*'B2'!G28,"fejl i år"),0)</f>
        <v>0</v>
      </c>
      <c r="X28" s="226">
        <f>+IFERROR(IF(X$19=Takstblad!H$3,VLOOKUP('B2'!$A28,takstblad,8,FALSE)*'B2'!H28,"fejl i år"),0)</f>
        <v>0</v>
      </c>
      <c r="Y28" s="226">
        <f>+IFERROR(IF(Y$19=Takstblad!I$3,VLOOKUP('B2'!$A28,takstblad,9,FALSE)*'B2'!I28,"fejl i år"),0)</f>
        <v>0</v>
      </c>
      <c r="Z28" s="226">
        <f>+IFERROR(IF(Z$19=Takstblad!J$3,VLOOKUP('B2'!$A28,takstblad,10,FALSE)*'B2'!J28,"fejl i år"),0)</f>
        <v>0</v>
      </c>
      <c r="AA28" s="226">
        <f>+IFERROR(IF(AA$19=Takstblad!K$3,VLOOKUP('B2'!$A28,takstblad,10,FALSE)*'B2'!K28,"fejl i år"),0)</f>
        <v>0</v>
      </c>
      <c r="AB28" s="226">
        <f>+IFERROR(IF(AB$19=Takstblad!L$3,VLOOKUP('B2'!$A28,takstblad,10,FALSE)*'B2'!L28,"fejl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1314</v>
      </c>
      <c r="B29" s="4" t="str">
        <f>+VLOOKUP(A29,Takstblad!$A$5:$B$30,2,FALSE)</f>
        <v/>
      </c>
      <c r="C29" s="299"/>
      <c r="D29" s="299"/>
      <c r="E29" s="299"/>
      <c r="F29" s="299"/>
      <c r="G29" s="299"/>
      <c r="H29" s="299"/>
      <c r="I29" s="300"/>
      <c r="J29" s="300"/>
      <c r="K29" s="300"/>
      <c r="L29" s="300"/>
      <c r="M29" s="47">
        <f t="shared" si="6"/>
        <v>0</v>
      </c>
      <c r="N29" s="299"/>
      <c r="O29" s="299" t="s">
        <v>113</v>
      </c>
      <c r="Q29" s="16"/>
      <c r="R29" s="21">
        <f t="shared" si="7"/>
        <v>0</v>
      </c>
      <c r="S29" s="25">
        <f>+IFERROR(IF(S$19=Takstblad!C$3,VLOOKUP('B2'!$A29,takstblad,3,FALSE)*'B2'!C29,"fejl i år"),0)</f>
        <v>0</v>
      </c>
      <c r="T29" s="25">
        <f>+IFERROR(IF(T$19=Takstblad!D$3,VLOOKUP('B2'!$A29,takstblad,4,FALSE)*'B2'!D29,"fejl i år"),0)</f>
        <v>0</v>
      </c>
      <c r="U29" s="25">
        <f>+IFERROR(IF(U$19=Takstblad!E$3,VLOOKUP('B2'!$A29,takstblad,5,FALSE)*'B2'!E29,"fejl i år"),0)</f>
        <v>0</v>
      </c>
      <c r="V29" s="25">
        <f>+IFERROR(IF(V$19=Takstblad!F$3,VLOOKUP('B2'!$A29,takstblad,6,FALSE)*'B2'!F29,"fejl i år"),0)</f>
        <v>0</v>
      </c>
      <c r="W29" s="25">
        <f>+IFERROR(IF(W$19=Takstblad!G$3,VLOOKUP('B2'!$A29,takstblad,7,FALSE)*'B2'!G29,"fejl i år"),0)</f>
        <v>0</v>
      </c>
      <c r="X29" s="25">
        <f>+IFERROR(IF(X$19=Takstblad!H$3,VLOOKUP('B2'!$A29,takstblad,8,FALSE)*'B2'!H29,"fejl i år"),0)</f>
        <v>0</v>
      </c>
      <c r="Y29" s="25">
        <f>+IFERROR(IF(Y$19=Takstblad!I$3,VLOOKUP('B2'!$A29,takstblad,9,FALSE)*'B2'!I29,"fejl i år"),0)</f>
        <v>0</v>
      </c>
      <c r="Z29" s="25">
        <f>+IFERROR(IF(Z$19=Takstblad!J$3,VLOOKUP('B2'!$A29,takstblad,10,FALSE)*'B2'!J29,"fejl i år"),0)</f>
        <v>0</v>
      </c>
      <c r="AA29" s="25">
        <f>+IFERROR(IF(AA$19=Takstblad!K$3,VLOOKUP('B2'!$A29,takstblad,10,FALSE)*'B2'!K29,"fejl i år"),0)</f>
        <v>0</v>
      </c>
      <c r="AB29" s="25">
        <f>+IFERROR(IF(AB$19=Takstblad!L$3,VLOOKUP('B2'!$A29,takstblad,10,FALSE)*'B2'!L29,"fejl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30" si="29">IFERROR(Z29/BC29,0)</f>
        <v>0</v>
      </c>
      <c r="BE29" s="232"/>
      <c r="BF29" s="25">
        <f t="shared" si="25"/>
        <v>0</v>
      </c>
      <c r="BG29" s="25">
        <f t="shared" si="26"/>
        <v>0</v>
      </c>
      <c r="BH29" s="232"/>
      <c r="BI29" s="25">
        <f t="shared" si="27"/>
        <v>0</v>
      </c>
      <c r="BJ29" s="25">
        <f t="shared" si="28"/>
        <v>0</v>
      </c>
    </row>
    <row r="30" spans="1:62" ht="15.6" customHeight="1" thickBot="1" x14ac:dyDescent="0.25">
      <c r="A30" s="4" t="s">
        <v>81</v>
      </c>
      <c r="B30" s="4"/>
      <c r="C30" s="49">
        <f t="shared" ref="C30:I30" si="30">SUM(C20:C29)</f>
        <v>0</v>
      </c>
      <c r="D30" s="49">
        <f t="shared" si="30"/>
        <v>0</v>
      </c>
      <c r="E30" s="49">
        <f t="shared" si="30"/>
        <v>0</v>
      </c>
      <c r="F30" s="49">
        <f t="shared" si="30"/>
        <v>0</v>
      </c>
      <c r="G30" s="49">
        <f t="shared" si="30"/>
        <v>0</v>
      </c>
      <c r="H30" s="49">
        <f t="shared" si="30"/>
        <v>0</v>
      </c>
      <c r="I30" s="64">
        <f t="shared" si="30"/>
        <v>0</v>
      </c>
      <c r="J30" s="64">
        <f>SUM(J20:J29)</f>
        <v>0</v>
      </c>
      <c r="K30" s="64">
        <f t="shared" ref="K30:L30" si="31">SUM(K20:K29)</f>
        <v>0</v>
      </c>
      <c r="L30" s="64">
        <f t="shared" si="31"/>
        <v>0</v>
      </c>
      <c r="M30" s="50">
        <f>SUM(M20:M29)</f>
        <v>0</v>
      </c>
      <c r="N30" s="50"/>
      <c r="O30" s="4"/>
      <c r="P30" s="4"/>
      <c r="Q30" s="23" t="s">
        <v>74</v>
      </c>
      <c r="R30" s="53">
        <f t="shared" si="7"/>
        <v>0</v>
      </c>
      <c r="S30" s="51">
        <f>SUM(S20:S29)</f>
        <v>0</v>
      </c>
      <c r="T30" s="13">
        <f t="shared" ref="T30:Z30" si="32">SUM(T20:T29)</f>
        <v>0</v>
      </c>
      <c r="U30" s="52">
        <f t="shared" si="32"/>
        <v>0</v>
      </c>
      <c r="V30" s="13">
        <f t="shared" si="32"/>
        <v>0</v>
      </c>
      <c r="W30" s="52">
        <f t="shared" si="32"/>
        <v>0</v>
      </c>
      <c r="X30" s="13">
        <f t="shared" si="32"/>
        <v>0</v>
      </c>
      <c r="Y30" s="66">
        <f t="shared" si="32"/>
        <v>0</v>
      </c>
      <c r="Z30" s="66">
        <f t="shared" si="32"/>
        <v>0</v>
      </c>
      <c r="AA30" s="66">
        <f t="shared" ref="AA30:AB30" si="33">SUM(AA20:AA29)</f>
        <v>0</v>
      </c>
      <c r="AB30" s="66">
        <f t="shared" si="33"/>
        <v>0</v>
      </c>
      <c r="AC30" s="53">
        <f t="shared" si="8"/>
        <v>0</v>
      </c>
      <c r="AD30" s="232"/>
      <c r="AE30" s="13">
        <f>SUM(AE20:AE29)</f>
        <v>0</v>
      </c>
      <c r="AF30" s="10">
        <f t="shared" si="10"/>
        <v>0</v>
      </c>
      <c r="AG30" s="232"/>
      <c r="AH30" s="13">
        <f>SUM(AH20:AH29)</f>
        <v>0</v>
      </c>
      <c r="AI30" s="10">
        <f t="shared" si="12"/>
        <v>0</v>
      </c>
      <c r="AJ30" s="233"/>
      <c r="AK30" s="13">
        <f>SUM(AK20:AK29)</f>
        <v>0</v>
      </c>
      <c r="AL30" s="10">
        <f t="shared" si="14"/>
        <v>0</v>
      </c>
      <c r="AM30" s="233"/>
      <c r="AN30" s="13">
        <f>SUM(AN20:AN29)</f>
        <v>0</v>
      </c>
      <c r="AO30" s="10">
        <f t="shared" si="16"/>
        <v>0</v>
      </c>
      <c r="AP30" s="232"/>
      <c r="AQ30" s="13">
        <f>SUM(AQ20:AQ29)</f>
        <v>0</v>
      </c>
      <c r="AR30" s="10">
        <f t="shared" si="18"/>
        <v>0</v>
      </c>
      <c r="AS30" s="232"/>
      <c r="AT30" s="13">
        <f>SUM(AT20:AT29)</f>
        <v>0</v>
      </c>
      <c r="AU30" s="10">
        <f t="shared" si="20"/>
        <v>0</v>
      </c>
      <c r="AV30" s="232"/>
      <c r="AW30" s="13">
        <f>SUM(AW20:AW29)</f>
        <v>0</v>
      </c>
      <c r="AX30" s="10">
        <f t="shared" si="22"/>
        <v>0</v>
      </c>
      <c r="AY30" s="232"/>
      <c r="AZ30" s="13">
        <f>SUM(AZ20:AZ29)</f>
        <v>0</v>
      </c>
      <c r="BA30" s="10">
        <f t="shared" ref="BA30" si="34">IFERROR(Z30/AZ30,0)</f>
        <v>0</v>
      </c>
      <c r="BB30" s="232"/>
      <c r="BC30" s="13">
        <f>SUM(BC20:BC29)</f>
        <v>0</v>
      </c>
      <c r="BD30" s="10">
        <f t="shared" si="29"/>
        <v>0</v>
      </c>
      <c r="BE30" s="232"/>
      <c r="BF30" s="13">
        <f>SUM(BF20:BF29)</f>
        <v>0</v>
      </c>
      <c r="BG30" s="10">
        <f t="shared" ref="BG30" si="35">IFERROR(AC30/BF30,0)</f>
        <v>0</v>
      </c>
      <c r="BH30" s="232"/>
      <c r="BI30" s="13">
        <f>SUM(BI20:BI29)</f>
        <v>0</v>
      </c>
      <c r="BJ30" s="10">
        <f t="shared" ref="BJ30" si="36">IFERROR(AF30/BI30,0)</f>
        <v>0</v>
      </c>
    </row>
    <row r="31" spans="1:62" ht="15.6" customHeight="1" x14ac:dyDescent="0.2">
      <c r="A31" s="4"/>
      <c r="B31" s="5"/>
      <c r="C31" s="5"/>
      <c r="D31" s="5"/>
      <c r="E31" s="5"/>
      <c r="F31" s="5"/>
      <c r="G31" s="5"/>
      <c r="H31" s="5"/>
      <c r="I31" s="5"/>
      <c r="J31" s="5"/>
      <c r="K31" s="5"/>
      <c r="L31" s="5"/>
      <c r="M31" s="5"/>
      <c r="N31" s="5"/>
      <c r="O31" s="5"/>
      <c r="P31" s="5"/>
      <c r="Q31" s="23"/>
      <c r="R31" s="5"/>
      <c r="S31" s="5"/>
      <c r="T31" s="5"/>
      <c r="U31" s="5"/>
      <c r="V31" s="5"/>
      <c r="W31" s="5"/>
      <c r="X31" s="5"/>
      <c r="Y31" s="5"/>
      <c r="Z31" s="5"/>
      <c r="AA31" s="5"/>
      <c r="AB31" s="5"/>
      <c r="AC31" s="5"/>
      <c r="AD31" s="232"/>
      <c r="AE31" s="5"/>
      <c r="AF31" s="5"/>
      <c r="AG31" s="232"/>
      <c r="AH31" s="5"/>
      <c r="AI31" s="5"/>
      <c r="AJ31" s="232"/>
      <c r="AK31" s="5"/>
      <c r="AL31" s="5"/>
      <c r="AM31" s="232"/>
      <c r="AN31" s="5"/>
      <c r="AO31" s="5"/>
      <c r="AP31" s="232"/>
      <c r="AQ31" s="5"/>
      <c r="AR31" s="5"/>
      <c r="AS31" s="232"/>
      <c r="AT31" s="5"/>
      <c r="AU31" s="5"/>
      <c r="AV31" s="232"/>
      <c r="AW31" s="5"/>
      <c r="AX31" s="5"/>
      <c r="AY31" s="232"/>
      <c r="AZ31" s="5"/>
      <c r="BA31" s="5"/>
      <c r="BB31" s="232"/>
      <c r="BC31" s="5"/>
      <c r="BD31" s="5"/>
      <c r="BE31" s="232"/>
      <c r="BF31" s="5"/>
      <c r="BG31" s="5"/>
      <c r="BH31" s="232"/>
      <c r="BI31" s="5"/>
      <c r="BJ31" s="5"/>
    </row>
    <row r="32" spans="1:62" s="9" customFormat="1" ht="15.6" customHeight="1" x14ac:dyDescent="0.2">
      <c r="A32" s="4" t="s">
        <v>80</v>
      </c>
      <c r="B32" s="8"/>
      <c r="C32" s="8">
        <f t="shared" ref="C32:L32" si="37">+C19</f>
        <v>2025</v>
      </c>
      <c r="D32" s="8">
        <f t="shared" si="37"/>
        <v>2026</v>
      </c>
      <c r="E32" s="8">
        <f t="shared" si="37"/>
        <v>2027</v>
      </c>
      <c r="F32" s="8">
        <f t="shared" si="37"/>
        <v>2028</v>
      </c>
      <c r="G32" s="8">
        <f t="shared" si="37"/>
        <v>2029</v>
      </c>
      <c r="H32" s="8">
        <f t="shared" si="37"/>
        <v>2030</v>
      </c>
      <c r="I32" s="8">
        <f t="shared" si="37"/>
        <v>2031</v>
      </c>
      <c r="J32" s="8">
        <f t="shared" si="37"/>
        <v>2032</v>
      </c>
      <c r="K32" s="8">
        <f t="shared" si="37"/>
        <v>2033</v>
      </c>
      <c r="L32" s="8">
        <f t="shared" si="37"/>
        <v>2034</v>
      </c>
      <c r="M32" s="8" t="s">
        <v>34</v>
      </c>
      <c r="N32" s="8"/>
      <c r="O32" s="8"/>
      <c r="P32" s="8"/>
      <c r="Q32" s="23" t="s">
        <v>82</v>
      </c>
      <c r="R32" s="8" t="s">
        <v>34</v>
      </c>
      <c r="S32" s="8">
        <f t="shared" ref="S32:AB32" si="38">+C19</f>
        <v>2025</v>
      </c>
      <c r="T32" s="8">
        <f t="shared" si="38"/>
        <v>2026</v>
      </c>
      <c r="U32" s="8">
        <f t="shared" si="38"/>
        <v>2027</v>
      </c>
      <c r="V32" s="8">
        <f t="shared" si="38"/>
        <v>2028</v>
      </c>
      <c r="W32" s="8">
        <f t="shared" si="38"/>
        <v>2029</v>
      </c>
      <c r="X32" s="8">
        <f t="shared" si="38"/>
        <v>2030</v>
      </c>
      <c r="Y32" s="8">
        <f t="shared" si="38"/>
        <v>2031</v>
      </c>
      <c r="Z32" s="8">
        <f t="shared" si="38"/>
        <v>2032</v>
      </c>
      <c r="AA32" s="8">
        <f t="shared" si="38"/>
        <v>2033</v>
      </c>
      <c r="AB32" s="8">
        <f t="shared" si="38"/>
        <v>2034</v>
      </c>
      <c r="AC32" s="8" t="s">
        <v>34</v>
      </c>
      <c r="AD32" s="233"/>
      <c r="AE32" s="503" t="s">
        <v>34</v>
      </c>
      <c r="AF32" s="502"/>
      <c r="AG32" s="232"/>
      <c r="AH32" s="501">
        <f>+AH19</f>
        <v>2025</v>
      </c>
      <c r="AI32" s="502"/>
      <c r="AJ32" s="232"/>
      <c r="AK32" s="501">
        <f>+AK19</f>
        <v>2026</v>
      </c>
      <c r="AL32" s="502"/>
      <c r="AM32" s="232"/>
      <c r="AN32" s="501">
        <f>+AN19</f>
        <v>2027</v>
      </c>
      <c r="AO32" s="502"/>
      <c r="AP32" s="232"/>
      <c r="AQ32" s="501">
        <f>+AQ19</f>
        <v>2028</v>
      </c>
      <c r="AR32" s="502"/>
      <c r="AS32" s="232"/>
      <c r="AT32" s="501">
        <f>+AT19</f>
        <v>2029</v>
      </c>
      <c r="AU32" s="502"/>
      <c r="AV32" s="232"/>
      <c r="AW32" s="501">
        <f>+AW19</f>
        <v>2030</v>
      </c>
      <c r="AX32" s="502"/>
      <c r="AY32" s="232"/>
      <c r="AZ32" s="501">
        <f>+AZ19</f>
        <v>2031</v>
      </c>
      <c r="BA32" s="502"/>
      <c r="BB32" s="232"/>
      <c r="BC32" s="501">
        <f>+BC19</f>
        <v>2032</v>
      </c>
      <c r="BD32" s="502"/>
      <c r="BE32" s="232"/>
      <c r="BF32" s="501">
        <f>+BF19</f>
        <v>2033</v>
      </c>
      <c r="BG32" s="502"/>
      <c r="BH32" s="232"/>
      <c r="BI32" s="501">
        <f>+BI19</f>
        <v>2034</v>
      </c>
      <c r="BJ32" s="502"/>
    </row>
    <row r="33" spans="1:66" ht="15.6" customHeight="1" x14ac:dyDescent="0.2">
      <c r="A33" s="223" t="s">
        <v>1314</v>
      </c>
      <c r="B33" s="224">
        <f>+VLOOKUP(A33,Takstblad!$A$33:$B$51,2,FALSE)</f>
        <v>0</v>
      </c>
      <c r="C33" s="299"/>
      <c r="D33" s="299"/>
      <c r="E33" s="299"/>
      <c r="F33" s="299"/>
      <c r="G33" s="299"/>
      <c r="H33" s="299"/>
      <c r="I33" s="299"/>
      <c r="J33" s="299"/>
      <c r="K33" s="299"/>
      <c r="L33" s="299"/>
      <c r="M33" s="19">
        <f>SUM(C33:L33)</f>
        <v>0</v>
      </c>
      <c r="N33" s="299"/>
      <c r="O33" s="299" t="s">
        <v>113</v>
      </c>
      <c r="P33" s="223"/>
      <c r="Q33" s="229"/>
      <c r="R33" s="227">
        <f t="shared" ref="R33:R46" si="39">+AC33</f>
        <v>0</v>
      </c>
      <c r="S33" s="226">
        <f>+IFERROR(IF(S$19=Takstblad!C$3,VLOOKUP('B2'!$A33,takstblad,3,FALSE)*'B2'!C33,"fejl i år"),0)</f>
        <v>0</v>
      </c>
      <c r="T33" s="226">
        <f>+IFERROR(IF(T$19=Takstblad!D$3,VLOOKUP('B2'!$A33,takstblad,4,FALSE)*'B2'!D33,"fejl i år"),0)</f>
        <v>0</v>
      </c>
      <c r="U33" s="226">
        <f>+IFERROR(IF(U$19=Takstblad!E$3,VLOOKUP('B2'!$A33,takstblad,5,FALSE)*'B2'!E33,"fejl i år"),0)</f>
        <v>0</v>
      </c>
      <c r="V33" s="226">
        <f>+IFERROR(IF(V$19=Takstblad!F$3,VLOOKUP('B2'!$A33,takstblad,6,FALSE)*'B2'!F33,"fejl i år"),0)</f>
        <v>0</v>
      </c>
      <c r="W33" s="226">
        <f>+IFERROR(IF(W$19=Takstblad!G$3,VLOOKUP('B2'!$A33,takstblad,7,FALSE)*'B2'!G33,"fejl i år"),0)</f>
        <v>0</v>
      </c>
      <c r="X33" s="226">
        <f>+IFERROR(IF(X$19=Takstblad!H$3,VLOOKUP('B2'!$A33,takstblad,8,FALSE)*'B2'!H33,"fejl i år"),0)</f>
        <v>0</v>
      </c>
      <c r="Y33" s="226">
        <f>+IFERROR(IF(Y$19=Takstblad!I$3,VLOOKUP('B2'!$A33,takstblad,9,FALSE)*'B2'!I33,"fejl i år"),0)</f>
        <v>0</v>
      </c>
      <c r="Z33" s="226">
        <f>+IFERROR(IF(Z$19=Takstblad!J$3,VLOOKUP('B2'!$A33,takstblad,10,FALSE)*'B2'!J33,"fejl i år"),0)</f>
        <v>0</v>
      </c>
      <c r="AA33" s="226">
        <f>+IFERROR(IF(AA$19=Takstblad!K$3,VLOOKUP('B2'!$A33,takstblad,10,FALSE)*'B2'!K33,"fejl i år"),0)</f>
        <v>0</v>
      </c>
      <c r="AB33" s="226">
        <f>+IFERROR(IF(AB$19=Takstblad!L$3,VLOOKUP('B2'!$A33,takstblad,10,FALSE)*'B2'!L33,"fejl i år"),0)</f>
        <v>0</v>
      </c>
      <c r="AC33" s="227">
        <f>SUM(S33:AB33)</f>
        <v>0</v>
      </c>
      <c r="AD33" s="232"/>
      <c r="AE33" s="228">
        <f t="shared" ref="AE33:AE42" si="40">+M33*($C$7/12)</f>
        <v>0</v>
      </c>
      <c r="AF33" s="228">
        <f t="shared" ref="AF33:AF43" si="41">IFERROR(AC33/AE33,0)</f>
        <v>0</v>
      </c>
      <c r="AG33" s="232"/>
      <c r="AH33" s="228">
        <f t="shared" ref="AH33:AH43" si="42">+C33*($C$7/12)</f>
        <v>0</v>
      </c>
      <c r="AI33" s="228">
        <f t="shared" ref="AI33:AI46" si="43">IFERROR(S33/AH33,0)</f>
        <v>0</v>
      </c>
      <c r="AJ33" s="232"/>
      <c r="AK33" s="226">
        <f t="shared" ref="AK33:AK43" si="44">+D33*($C$7/12)</f>
        <v>0</v>
      </c>
      <c r="AL33" s="226">
        <f t="shared" ref="AL33:AL46" si="45">IFERROR(T33/AK33,0)</f>
        <v>0</v>
      </c>
      <c r="AM33" s="232"/>
      <c r="AN33" s="226">
        <f t="shared" ref="AN33:AN43" si="46">+E33*($C$7/12)</f>
        <v>0</v>
      </c>
      <c r="AO33" s="226">
        <f t="shared" ref="AO33:AO46" si="47">IFERROR(U33/AN33,0)</f>
        <v>0</v>
      </c>
      <c r="AP33" s="232"/>
      <c r="AQ33" s="226">
        <f t="shared" ref="AQ33:AQ43" si="48">+F33*($C$7/12)</f>
        <v>0</v>
      </c>
      <c r="AR33" s="226">
        <f t="shared" ref="AR33:AR46" si="49">IFERROR(V33/AQ33,0)</f>
        <v>0</v>
      </c>
      <c r="AS33" s="232"/>
      <c r="AT33" s="226">
        <f t="shared" ref="AT33:AT43" si="50">+G33*($C$7/12)</f>
        <v>0</v>
      </c>
      <c r="AU33" s="226">
        <f t="shared" ref="AU33:AU46" si="51">IFERROR(W33/AT33,0)</f>
        <v>0</v>
      </c>
      <c r="AV33" s="232"/>
      <c r="AW33" s="226">
        <f t="shared" ref="AW33:AW43" si="52">+H33*($C$7/12)</f>
        <v>0</v>
      </c>
      <c r="AX33" s="226">
        <f t="shared" ref="AX33:AX46" si="53">IFERROR(X33/AW33,0)</f>
        <v>0</v>
      </c>
      <c r="AY33" s="232"/>
      <c r="AZ33" s="226">
        <f>+I33*($C$7/12)</f>
        <v>0</v>
      </c>
      <c r="BA33" s="226">
        <f>IFERROR(Y33/AZ33,0)</f>
        <v>0</v>
      </c>
      <c r="BB33" s="232"/>
      <c r="BC33" s="226">
        <f>+J33*($C$7/12)</f>
        <v>0</v>
      </c>
      <c r="BD33" s="226">
        <f>IFERROR(Z33/BC33,0)</f>
        <v>0</v>
      </c>
      <c r="BE33" s="232"/>
      <c r="BF33" s="226">
        <f>+K33*($C$7/12)</f>
        <v>0</v>
      </c>
      <c r="BG33" s="226">
        <f>IFERROR(AB33/BF33,0)</f>
        <v>0</v>
      </c>
      <c r="BH33" s="232"/>
      <c r="BI33" s="226">
        <f>+L33*($C$7/12)</f>
        <v>0</v>
      </c>
      <c r="BJ33" s="226">
        <f>IFERROR(AB33/BI33,0)</f>
        <v>0</v>
      </c>
    </row>
    <row r="34" spans="1:66" ht="15.6" customHeight="1" x14ac:dyDescent="0.2">
      <c r="A34" s="7" t="s">
        <v>1314</v>
      </c>
      <c r="B34" s="4">
        <f>+VLOOKUP(A34,Takstblad!$A$33:$B$51,2,FALSE)</f>
        <v>0</v>
      </c>
      <c r="C34" s="301"/>
      <c r="D34" s="299"/>
      <c r="E34" s="299"/>
      <c r="F34" s="299"/>
      <c r="G34" s="299"/>
      <c r="H34" s="299"/>
      <c r="I34" s="299"/>
      <c r="J34" s="299"/>
      <c r="K34" s="299"/>
      <c r="L34" s="299"/>
      <c r="M34" s="19">
        <f t="shared" ref="M34:M46" si="54">SUM(C34:L34)</f>
        <v>0</v>
      </c>
      <c r="N34" s="299"/>
      <c r="O34" s="299" t="s">
        <v>113</v>
      </c>
      <c r="Q34" s="26"/>
      <c r="R34" s="21">
        <f>+AC34</f>
        <v>0</v>
      </c>
      <c r="S34" s="25">
        <f>+IFERROR(IF(S$19=Takstblad!C$3,VLOOKUP('B2'!$A34,takstblad,3,FALSE)*'B2'!C34,"fejl i år"),0)</f>
        <v>0</v>
      </c>
      <c r="T34" s="25">
        <f>+IFERROR(IF(T$19=Takstblad!D$3,VLOOKUP('B2'!$A34,takstblad,4,FALSE)*'B2'!D34,"fejl i år"),0)</f>
        <v>0</v>
      </c>
      <c r="U34" s="25">
        <f>+IFERROR(IF(U$19=Takstblad!E$3,VLOOKUP('B2'!$A34,takstblad,5,FALSE)*'B2'!E34,"fejl i år"),0)</f>
        <v>0</v>
      </c>
      <c r="V34" s="25">
        <f>+IFERROR(IF(V$19=Takstblad!F$3,VLOOKUP('B2'!$A34,takstblad,6,FALSE)*'B2'!F34,"fejl i år"),0)</f>
        <v>0</v>
      </c>
      <c r="W34" s="25">
        <f>+IFERROR(IF(W$19=Takstblad!G$3,VLOOKUP('B2'!$A34,takstblad,7,FALSE)*'B2'!G34,"fejl i år"),0)</f>
        <v>0</v>
      </c>
      <c r="X34" s="25">
        <f>+IFERROR(IF(X$19=Takstblad!H$3,VLOOKUP('B2'!$A34,takstblad,8,FALSE)*'B2'!H34,"fejl i år"),0)</f>
        <v>0</v>
      </c>
      <c r="Y34" s="25">
        <f>+IFERROR(IF(Y$19=Takstblad!I$3,VLOOKUP('B2'!$A34,takstblad,9,FALSE)*'B2'!I34,"fejl i år"),0)</f>
        <v>0</v>
      </c>
      <c r="Z34" s="25">
        <f>+IFERROR(IF(Z$19=Takstblad!J$3,VLOOKUP('B2'!$A34,takstblad,10,FALSE)*'B2'!J34,"fejl i år"),0)</f>
        <v>0</v>
      </c>
      <c r="AA34" s="25">
        <f>+IFERROR(IF(AA$19=Takstblad!K$3,VLOOKUP('B2'!$A34,takstblad,10,FALSE)*'B2'!K34,"fejl i år"),0)</f>
        <v>0</v>
      </c>
      <c r="AB34" s="25">
        <f>+IFERROR(IF(AB$19=Takstblad!L$3,VLOOKUP('B2'!$A34,takstblad,10,FALSE)*'B2'!L34,"fejl i år"),0)</f>
        <v>0</v>
      </c>
      <c r="AC34" s="21">
        <f t="shared" ref="AC34:AC46" si="55">SUM(S34:AB34)</f>
        <v>0</v>
      </c>
      <c r="AD34" s="232"/>
      <c r="AE34" s="25">
        <f t="shared" si="40"/>
        <v>0</v>
      </c>
      <c r="AF34" s="25">
        <f t="shared" si="41"/>
        <v>0</v>
      </c>
      <c r="AG34" s="232"/>
      <c r="AH34" s="25">
        <f t="shared" si="42"/>
        <v>0</v>
      </c>
      <c r="AI34" s="25">
        <f t="shared" si="43"/>
        <v>0</v>
      </c>
      <c r="AJ34" s="232"/>
      <c r="AK34" s="25">
        <f t="shared" si="44"/>
        <v>0</v>
      </c>
      <c r="AL34" s="25">
        <f t="shared" si="45"/>
        <v>0</v>
      </c>
      <c r="AM34" s="232"/>
      <c r="AN34" s="25">
        <f t="shared" si="46"/>
        <v>0</v>
      </c>
      <c r="AO34" s="25">
        <f t="shared" si="47"/>
        <v>0</v>
      </c>
      <c r="AP34" s="232"/>
      <c r="AQ34" s="25">
        <f t="shared" si="48"/>
        <v>0</v>
      </c>
      <c r="AR34" s="25">
        <f t="shared" si="49"/>
        <v>0</v>
      </c>
      <c r="AS34" s="232"/>
      <c r="AT34" s="25">
        <f>+G34*($C$7/12)</f>
        <v>0</v>
      </c>
      <c r="AU34" s="25">
        <f>IFERROR(W34/AT34,0)</f>
        <v>0</v>
      </c>
      <c r="AV34" s="232"/>
      <c r="AW34" s="25">
        <f t="shared" si="52"/>
        <v>0</v>
      </c>
      <c r="AX34" s="25">
        <f t="shared" si="53"/>
        <v>0</v>
      </c>
      <c r="AY34" s="232"/>
      <c r="AZ34" s="25">
        <f t="shared" ref="AZ34:AZ43" si="56">+I34*($C$7/12)</f>
        <v>0</v>
      </c>
      <c r="BA34" s="25">
        <f t="shared" ref="BA34:BA46" si="57">IFERROR(Y34/AZ34,0)</f>
        <v>0</v>
      </c>
      <c r="BB34" s="232"/>
      <c r="BC34" s="25">
        <f t="shared" ref="BC34:BC43" si="58">+J34*($C$7/12)</f>
        <v>0</v>
      </c>
      <c r="BD34" s="25">
        <f t="shared" ref="BD34:BD46" si="59">IFERROR(Z34/BC34,0)</f>
        <v>0</v>
      </c>
      <c r="BE34" s="232"/>
      <c r="BF34" s="25">
        <f t="shared" ref="BF34:BF45" si="60">+K34*($C$7/12)</f>
        <v>0</v>
      </c>
      <c r="BG34" s="25">
        <f t="shared" ref="BG34:BG45" si="61">IFERROR(AB34/BF34,0)</f>
        <v>0</v>
      </c>
      <c r="BH34" s="232"/>
      <c r="BI34" s="25">
        <f t="shared" ref="BI34:BI45" si="62">+L34*($C$7/12)</f>
        <v>0</v>
      </c>
      <c r="BJ34" s="25">
        <f t="shared" ref="BJ34:BJ45" si="63">IFERROR(AB34/BI34,0)</f>
        <v>0</v>
      </c>
    </row>
    <row r="35" spans="1:66" ht="15.6" customHeight="1" x14ac:dyDescent="0.2">
      <c r="A35" s="223" t="s">
        <v>1314</v>
      </c>
      <c r="B35" s="224">
        <f>+VLOOKUP(A35,Takstblad!$A$33:$B$51,2,FALSE)</f>
        <v>0</v>
      </c>
      <c r="C35" s="299"/>
      <c r="D35" s="299"/>
      <c r="E35" s="299"/>
      <c r="F35" s="299"/>
      <c r="G35" s="299"/>
      <c r="H35" s="299"/>
      <c r="I35" s="299"/>
      <c r="J35" s="299"/>
      <c r="K35" s="299"/>
      <c r="L35" s="299"/>
      <c r="M35" s="19">
        <f t="shared" si="54"/>
        <v>0</v>
      </c>
      <c r="N35" s="299"/>
      <c r="O35" s="299" t="s">
        <v>113</v>
      </c>
      <c r="P35" s="223"/>
      <c r="Q35" s="229"/>
      <c r="R35" s="227">
        <f>+AC35</f>
        <v>0</v>
      </c>
      <c r="S35" s="226">
        <f>+IFERROR(IF(S$19=Takstblad!C$3,VLOOKUP('B1'!$A35,takstblad,3,FALSE)*'B1'!C35,"fejl i år"),0)</f>
        <v>0</v>
      </c>
      <c r="T35" s="226">
        <f>+IFERROR(IF(T$19=Takstblad!D$3,VLOOKUP('B2'!$A35,takstblad,4,FALSE)*'B2'!D35,"fejl i år"),0)</f>
        <v>0</v>
      </c>
      <c r="U35" s="226">
        <f>+IFERROR(IF(U$19=Takstblad!E$3,VLOOKUP('B2'!$A35,takstblad,5,FALSE)*'B2'!E35,"fejl i år"),0)</f>
        <v>0</v>
      </c>
      <c r="V35" s="226">
        <f>+IFERROR(IF(V$19=Takstblad!F$3,VLOOKUP('B2'!$A35,takstblad,6,FALSE)*'B2'!F35,"fejl i år"),0)</f>
        <v>0</v>
      </c>
      <c r="W35" s="226">
        <f>+IFERROR(IF(W$19=Takstblad!G$3,VLOOKUP('B2'!$A35,takstblad,7,FALSE)*'B2'!G35,"fejl i år"),0)</f>
        <v>0</v>
      </c>
      <c r="X35" s="226">
        <f>+IFERROR(IF(X$19=Takstblad!H$3,VLOOKUP('B2'!$A35,takstblad,8,FALSE)*'B2'!H35,"fejl i år"),0)</f>
        <v>0</v>
      </c>
      <c r="Y35" s="226">
        <f>+IFERROR(IF(Y$19=Takstblad!I$3,VLOOKUP('B2'!$A35,takstblad,9,FALSE)*'B2'!I35,"fejl i år"),0)</f>
        <v>0</v>
      </c>
      <c r="Z35" s="226">
        <f>+IFERROR(IF(Z$19=Takstblad!J$3,VLOOKUP('B2'!$A35,takstblad,10,FALSE)*'B2'!J35,"fejl i år"),0)</f>
        <v>0</v>
      </c>
      <c r="AA35" s="226">
        <f>+IFERROR(IF(AA$19=Takstblad!K$3,VLOOKUP('B2'!$A35,takstblad,10,FALSE)*'B2'!K35,"fejl i år"),0)</f>
        <v>0</v>
      </c>
      <c r="AB35" s="226">
        <f>+IFERROR(IF(AB$19=Takstblad!L$3,VLOOKUP('B2'!$A35,takstblad,10,FALSE)*'B2'!L35,"fejl i år"),0)</f>
        <v>0</v>
      </c>
      <c r="AC35" s="227">
        <f t="shared" si="55"/>
        <v>0</v>
      </c>
      <c r="AD35" s="232"/>
      <c r="AE35" s="228">
        <f t="shared" si="40"/>
        <v>0</v>
      </c>
      <c r="AF35" s="228">
        <f t="shared" si="41"/>
        <v>0</v>
      </c>
      <c r="AG35" s="232"/>
      <c r="AH35" s="228">
        <f t="shared" si="42"/>
        <v>0</v>
      </c>
      <c r="AI35" s="228">
        <f t="shared" si="43"/>
        <v>0</v>
      </c>
      <c r="AJ35" s="232"/>
      <c r="AK35" s="226">
        <f t="shared" si="44"/>
        <v>0</v>
      </c>
      <c r="AL35" s="226">
        <f t="shared" si="45"/>
        <v>0</v>
      </c>
      <c r="AM35" s="232"/>
      <c r="AN35" s="226">
        <f t="shared" si="46"/>
        <v>0</v>
      </c>
      <c r="AO35" s="226">
        <f t="shared" si="47"/>
        <v>0</v>
      </c>
      <c r="AP35" s="232"/>
      <c r="AQ35" s="226">
        <f t="shared" si="48"/>
        <v>0</v>
      </c>
      <c r="AR35" s="226">
        <f t="shared" si="49"/>
        <v>0</v>
      </c>
      <c r="AS35" s="232"/>
      <c r="AT35" s="226">
        <f t="shared" si="50"/>
        <v>0</v>
      </c>
      <c r="AU35" s="226">
        <f t="shared" si="51"/>
        <v>0</v>
      </c>
      <c r="AV35" s="232"/>
      <c r="AW35" s="226">
        <f t="shared" si="52"/>
        <v>0</v>
      </c>
      <c r="AX35" s="226">
        <f t="shared" si="53"/>
        <v>0</v>
      </c>
      <c r="AY35" s="232"/>
      <c r="AZ35" s="226">
        <f t="shared" si="56"/>
        <v>0</v>
      </c>
      <c r="BA35" s="226">
        <f t="shared" si="57"/>
        <v>0</v>
      </c>
      <c r="BB35" s="232"/>
      <c r="BC35" s="226">
        <f t="shared" si="58"/>
        <v>0</v>
      </c>
      <c r="BD35" s="226">
        <f t="shared" si="59"/>
        <v>0</v>
      </c>
      <c r="BE35" s="232"/>
      <c r="BF35" s="226">
        <f t="shared" si="60"/>
        <v>0</v>
      </c>
      <c r="BG35" s="226">
        <f t="shared" si="61"/>
        <v>0</v>
      </c>
      <c r="BH35" s="232"/>
      <c r="BI35" s="226">
        <f t="shared" si="62"/>
        <v>0</v>
      </c>
      <c r="BJ35" s="226">
        <f t="shared" si="63"/>
        <v>0</v>
      </c>
    </row>
    <row r="36" spans="1:66" ht="15.6" customHeight="1" x14ac:dyDescent="0.2">
      <c r="A36" s="7" t="s">
        <v>1314</v>
      </c>
      <c r="B36" s="4">
        <f>+VLOOKUP(A36,Takstblad!$A$33:$B$51,2,FALSE)</f>
        <v>0</v>
      </c>
      <c r="C36" s="299"/>
      <c r="D36" s="299"/>
      <c r="E36" s="299"/>
      <c r="F36" s="299"/>
      <c r="G36" s="299"/>
      <c r="H36" s="299"/>
      <c r="I36" s="299"/>
      <c r="J36" s="299"/>
      <c r="K36" s="299"/>
      <c r="L36" s="299"/>
      <c r="M36" s="19">
        <f t="shared" si="54"/>
        <v>0</v>
      </c>
      <c r="N36" s="299"/>
      <c r="O36" s="299" t="s">
        <v>113</v>
      </c>
      <c r="Q36" s="26"/>
      <c r="R36" s="21">
        <f t="shared" si="39"/>
        <v>0</v>
      </c>
      <c r="S36" s="25">
        <f>+IFERROR(IF(S$19=Takstblad!C$3,VLOOKUP('B2'!$A36,takstblad,3,FALSE)*'B2'!C36,"fejl i år"),0)</f>
        <v>0</v>
      </c>
      <c r="T36" s="25">
        <f>+IFERROR(IF(T$19=Takstblad!D$3,VLOOKUP('B2'!$A36,takstblad,4,FALSE)*'B2'!D36,"fejl i år"),0)</f>
        <v>0</v>
      </c>
      <c r="U36" s="25">
        <f>+IFERROR(IF(U$19=Takstblad!E$3,VLOOKUP('B2'!$A36,takstblad,5,FALSE)*'B2'!E36,"fejl i år"),0)</f>
        <v>0</v>
      </c>
      <c r="V36" s="25">
        <f>+IFERROR(IF(V$19=Takstblad!F$3,VLOOKUP('B2'!$A36,takstblad,6,FALSE)*'B2'!F36,"fejl i år"),0)</f>
        <v>0</v>
      </c>
      <c r="W36" s="25">
        <f>+IFERROR(IF(W$19=Takstblad!G$3,VLOOKUP('B2'!$A36,takstblad,7,FALSE)*'B2'!G36,"fejl i år"),0)</f>
        <v>0</v>
      </c>
      <c r="X36" s="25">
        <f>+IFERROR(IF(X$19=Takstblad!H$3,VLOOKUP('B2'!$A36,takstblad,8,FALSE)*'B2'!H36,"fejl i år"),0)</f>
        <v>0</v>
      </c>
      <c r="Y36" s="25">
        <f>+IFERROR(IF(Y$19=Takstblad!I$3,VLOOKUP('B2'!$A36,takstblad,9,FALSE)*'B2'!I36,"fejl i år"),0)</f>
        <v>0</v>
      </c>
      <c r="Z36" s="25">
        <f>+IFERROR(IF(Z$19=Takstblad!J$3,VLOOKUP('B2'!$A36,takstblad,10,FALSE)*'B2'!J36,"fejl i år"),0)</f>
        <v>0</v>
      </c>
      <c r="AA36" s="25">
        <f>+IFERROR(IF(AA$19=Takstblad!K$3,VLOOKUP('B2'!$A36,takstblad,10,FALSE)*'B2'!K36,"fejl i år"),0)</f>
        <v>0</v>
      </c>
      <c r="AB36" s="25">
        <f>+IFERROR(IF(AB$19=Takstblad!L$3,VLOOKUP('B2'!$A36,takstblad,10,FALSE)*'B2'!L36,"fejl i år"),0)</f>
        <v>0</v>
      </c>
      <c r="AC36" s="21">
        <f t="shared" si="55"/>
        <v>0</v>
      </c>
      <c r="AD36" s="232"/>
      <c r="AE36" s="25">
        <f t="shared" si="40"/>
        <v>0</v>
      </c>
      <c r="AF36" s="25">
        <f t="shared" si="41"/>
        <v>0</v>
      </c>
      <c r="AG36" s="232"/>
      <c r="AH36" s="25">
        <f t="shared" si="42"/>
        <v>0</v>
      </c>
      <c r="AI36" s="25">
        <f t="shared" si="43"/>
        <v>0</v>
      </c>
      <c r="AJ36" s="232"/>
      <c r="AK36" s="25">
        <f t="shared" si="44"/>
        <v>0</v>
      </c>
      <c r="AL36" s="25">
        <f t="shared" si="45"/>
        <v>0</v>
      </c>
      <c r="AM36" s="232"/>
      <c r="AN36" s="25">
        <f t="shared" si="46"/>
        <v>0</v>
      </c>
      <c r="AO36" s="25">
        <f t="shared" si="47"/>
        <v>0</v>
      </c>
      <c r="AP36" s="232"/>
      <c r="AQ36" s="25">
        <f t="shared" si="48"/>
        <v>0</v>
      </c>
      <c r="AR36" s="25">
        <f t="shared" si="49"/>
        <v>0</v>
      </c>
      <c r="AS36" s="232"/>
      <c r="AT36" s="25">
        <f t="shared" si="50"/>
        <v>0</v>
      </c>
      <c r="AU36" s="25">
        <f t="shared" si="51"/>
        <v>0</v>
      </c>
      <c r="AV36" s="232"/>
      <c r="AW36" s="25">
        <f t="shared" si="52"/>
        <v>0</v>
      </c>
      <c r="AX36" s="25">
        <f t="shared" si="53"/>
        <v>0</v>
      </c>
      <c r="AY36" s="232"/>
      <c r="AZ36" s="25">
        <f t="shared" si="56"/>
        <v>0</v>
      </c>
      <c r="BA36" s="25">
        <f t="shared" si="57"/>
        <v>0</v>
      </c>
      <c r="BB36" s="232"/>
      <c r="BC36" s="25">
        <f t="shared" si="58"/>
        <v>0</v>
      </c>
      <c r="BD36" s="25">
        <f t="shared" si="59"/>
        <v>0</v>
      </c>
      <c r="BE36" s="232"/>
      <c r="BF36" s="25">
        <f t="shared" si="60"/>
        <v>0</v>
      </c>
      <c r="BG36" s="25">
        <f t="shared" si="61"/>
        <v>0</v>
      </c>
      <c r="BH36" s="232"/>
      <c r="BI36" s="25">
        <f t="shared" si="62"/>
        <v>0</v>
      </c>
      <c r="BJ36" s="25">
        <f t="shared" si="63"/>
        <v>0</v>
      </c>
    </row>
    <row r="37" spans="1:66" ht="15.6" customHeight="1" x14ac:dyDescent="0.2">
      <c r="A37" s="223" t="s">
        <v>1314</v>
      </c>
      <c r="B37" s="224">
        <f>+VLOOKUP(A37,Takstblad!$A$33:$B$51,2,FALSE)</f>
        <v>0</v>
      </c>
      <c r="C37" s="299"/>
      <c r="D37" s="299"/>
      <c r="E37" s="299"/>
      <c r="F37" s="299"/>
      <c r="G37" s="299"/>
      <c r="H37" s="299"/>
      <c r="I37" s="299"/>
      <c r="J37" s="299"/>
      <c r="K37" s="299"/>
      <c r="L37" s="299"/>
      <c r="M37" s="19">
        <f t="shared" si="54"/>
        <v>0</v>
      </c>
      <c r="N37" s="299"/>
      <c r="O37" s="299" t="s">
        <v>113</v>
      </c>
      <c r="P37" s="223"/>
      <c r="Q37" s="229"/>
      <c r="R37" s="227">
        <f t="shared" si="39"/>
        <v>0</v>
      </c>
      <c r="S37" s="226">
        <f>+IFERROR(IF(S$19=Takstblad!C$3,VLOOKUP('B2'!$A37,takstblad,3,FALSE)*'B2'!C37,"fejl i år"),0)</f>
        <v>0</v>
      </c>
      <c r="T37" s="226">
        <f>+IFERROR(IF(T$19=Takstblad!D$3,VLOOKUP('B2'!$A37,takstblad,4,FALSE)*'B2'!D37,"fejl i år"),0)</f>
        <v>0</v>
      </c>
      <c r="U37" s="226">
        <f>+IFERROR(IF(U$19=Takstblad!E$3,VLOOKUP('B2'!$A37,takstblad,5,FALSE)*'B2'!E37,"fejl i år"),0)</f>
        <v>0</v>
      </c>
      <c r="V37" s="226">
        <f>+IFERROR(IF(V$19=Takstblad!F$3,VLOOKUP('B2'!$A37,takstblad,6,FALSE)*'B2'!F37,"fejl i år"),0)</f>
        <v>0</v>
      </c>
      <c r="W37" s="226">
        <f>+IFERROR(IF(W$19=Takstblad!G$3,VLOOKUP('B2'!$A37,takstblad,7,FALSE)*'B2'!G37,"fejl i år"),0)</f>
        <v>0</v>
      </c>
      <c r="X37" s="226">
        <f>+IFERROR(IF(X$19=Takstblad!H$3,VLOOKUP('B2'!$A37,takstblad,8,FALSE)*'B2'!H37,"fejl i år"),0)</f>
        <v>0</v>
      </c>
      <c r="Y37" s="226">
        <f>+IFERROR(IF(Y$19=Takstblad!I$3,VLOOKUP('B2'!$A37,takstblad,9,FALSE)*'B2'!I37,"fejl i år"),0)</f>
        <v>0</v>
      </c>
      <c r="Z37" s="226">
        <f>+IFERROR(IF(Z$19=Takstblad!J$3,VLOOKUP('B2'!$A37,takstblad,10,FALSE)*'B2'!J37,"fejl i år"),0)</f>
        <v>0</v>
      </c>
      <c r="AA37" s="226">
        <f>+IFERROR(IF(AA$19=Takstblad!K$3,VLOOKUP('B2'!$A37,takstblad,10,FALSE)*'B2'!K37,"fejl i år"),0)</f>
        <v>0</v>
      </c>
      <c r="AB37" s="226">
        <f>+IFERROR(IF(AB$19=Takstblad!L$3,VLOOKUP('B2'!$A37,takstblad,10,FALSE)*'B2'!L37,"fejl i år"),0)</f>
        <v>0</v>
      </c>
      <c r="AC37" s="227">
        <f t="shared" si="55"/>
        <v>0</v>
      </c>
      <c r="AD37" s="232"/>
      <c r="AE37" s="228">
        <f t="shared" si="40"/>
        <v>0</v>
      </c>
      <c r="AF37" s="228">
        <f t="shared" si="41"/>
        <v>0</v>
      </c>
      <c r="AG37" s="232"/>
      <c r="AH37" s="228">
        <f t="shared" si="42"/>
        <v>0</v>
      </c>
      <c r="AI37" s="228">
        <f t="shared" si="43"/>
        <v>0</v>
      </c>
      <c r="AJ37" s="232"/>
      <c r="AK37" s="226">
        <f t="shared" si="44"/>
        <v>0</v>
      </c>
      <c r="AL37" s="226">
        <f t="shared" si="45"/>
        <v>0</v>
      </c>
      <c r="AM37" s="232"/>
      <c r="AN37" s="226">
        <f t="shared" si="46"/>
        <v>0</v>
      </c>
      <c r="AO37" s="226">
        <f t="shared" si="47"/>
        <v>0</v>
      </c>
      <c r="AP37" s="232"/>
      <c r="AQ37" s="226">
        <f t="shared" si="48"/>
        <v>0</v>
      </c>
      <c r="AR37" s="226">
        <f t="shared" si="49"/>
        <v>0</v>
      </c>
      <c r="AS37" s="232"/>
      <c r="AT37" s="226">
        <f t="shared" si="50"/>
        <v>0</v>
      </c>
      <c r="AU37" s="226">
        <f t="shared" si="51"/>
        <v>0</v>
      </c>
      <c r="AV37" s="232"/>
      <c r="AW37" s="226">
        <f t="shared" si="52"/>
        <v>0</v>
      </c>
      <c r="AX37" s="226">
        <f t="shared" si="53"/>
        <v>0</v>
      </c>
      <c r="AY37" s="232"/>
      <c r="AZ37" s="226">
        <f t="shared" si="56"/>
        <v>0</v>
      </c>
      <c r="BA37" s="226">
        <f t="shared" si="57"/>
        <v>0</v>
      </c>
      <c r="BB37" s="232"/>
      <c r="BC37" s="226">
        <f t="shared" si="58"/>
        <v>0</v>
      </c>
      <c r="BD37" s="226">
        <f t="shared" si="59"/>
        <v>0</v>
      </c>
      <c r="BE37" s="232"/>
      <c r="BF37" s="226">
        <f t="shared" si="60"/>
        <v>0</v>
      </c>
      <c r="BG37" s="226">
        <f t="shared" si="61"/>
        <v>0</v>
      </c>
      <c r="BH37" s="232"/>
      <c r="BI37" s="226">
        <f t="shared" si="62"/>
        <v>0</v>
      </c>
      <c r="BJ37" s="226">
        <f t="shared" si="63"/>
        <v>0</v>
      </c>
    </row>
    <row r="38" spans="1:66" ht="15.6" customHeight="1" x14ac:dyDescent="0.2">
      <c r="A38" s="7" t="s">
        <v>1314</v>
      </c>
      <c r="B38" s="4">
        <f>+VLOOKUP(A38,Takstblad!$A$33:$B$51,2,FALSE)</f>
        <v>0</v>
      </c>
      <c r="C38" s="299"/>
      <c r="D38" s="299"/>
      <c r="E38" s="299"/>
      <c r="F38" s="299"/>
      <c r="G38" s="299"/>
      <c r="H38" s="299"/>
      <c r="I38" s="299"/>
      <c r="J38" s="299"/>
      <c r="K38" s="299"/>
      <c r="L38" s="299"/>
      <c r="M38" s="19">
        <f t="shared" si="54"/>
        <v>0</v>
      </c>
      <c r="N38" s="299"/>
      <c r="O38" s="299" t="s">
        <v>113</v>
      </c>
      <c r="Q38" s="26"/>
      <c r="R38" s="21">
        <f t="shared" si="39"/>
        <v>0</v>
      </c>
      <c r="S38" s="25">
        <f>+IFERROR(IF(S$19=Takstblad!C$3,VLOOKUP('B2'!$A38,takstblad,3,FALSE)*'B2'!C38,"fejl i år"),0)</f>
        <v>0</v>
      </c>
      <c r="T38" s="25">
        <f>+IFERROR(IF(T$19=Takstblad!D$3,VLOOKUP('B2'!$A38,takstblad,4,FALSE)*'B2'!D38,"fejl i år"),0)</f>
        <v>0</v>
      </c>
      <c r="U38" s="25">
        <f>+IFERROR(IF(U$19=Takstblad!E$3,VLOOKUP('B2'!$A38,takstblad,5,FALSE)*'B2'!E38,"fejl i år"),0)</f>
        <v>0</v>
      </c>
      <c r="V38" s="25">
        <f>+IFERROR(IF(V$19=Takstblad!F$3,VLOOKUP('B2'!$A38,takstblad,6,FALSE)*'B2'!F38,"fejl i år"),0)</f>
        <v>0</v>
      </c>
      <c r="W38" s="25">
        <f>+IFERROR(IF(W$19=Takstblad!G$3,VLOOKUP('B2'!$A38,takstblad,7,FALSE)*'B2'!G38,"fejl i år"),0)</f>
        <v>0</v>
      </c>
      <c r="X38" s="25">
        <f>+IFERROR(IF(X$19=Takstblad!H$3,VLOOKUP('B2'!$A38,takstblad,8,FALSE)*'B2'!H38,"fejl i år"),0)</f>
        <v>0</v>
      </c>
      <c r="Y38" s="25">
        <f>+IFERROR(IF(Y$19=Takstblad!I$3,VLOOKUP('B2'!$A38,takstblad,9,FALSE)*'B2'!I38,"fejl i år"),0)</f>
        <v>0</v>
      </c>
      <c r="Z38" s="25">
        <f>+IFERROR(IF(Z$19=Takstblad!J$3,VLOOKUP('B2'!$A38,takstblad,10,FALSE)*'B2'!J38,"fejl i år"),0)</f>
        <v>0</v>
      </c>
      <c r="AA38" s="25">
        <f>+IFERROR(IF(AA$19=Takstblad!K$3,VLOOKUP('B2'!$A38,takstblad,10,FALSE)*'B2'!K38,"fejl i år"),0)</f>
        <v>0</v>
      </c>
      <c r="AB38" s="25">
        <f>+IFERROR(IF(AB$19=Takstblad!L$3,VLOOKUP('B2'!$A38,takstblad,10,FALSE)*'B2'!L38,"fejl i år"),0)</f>
        <v>0</v>
      </c>
      <c r="AC38" s="21">
        <f t="shared" si="55"/>
        <v>0</v>
      </c>
      <c r="AD38" s="232"/>
      <c r="AE38" s="25">
        <f t="shared" si="40"/>
        <v>0</v>
      </c>
      <c r="AF38" s="25">
        <f t="shared" si="41"/>
        <v>0</v>
      </c>
      <c r="AG38" s="232"/>
      <c r="AH38" s="25">
        <f t="shared" si="42"/>
        <v>0</v>
      </c>
      <c r="AI38" s="25">
        <f t="shared" si="43"/>
        <v>0</v>
      </c>
      <c r="AJ38" s="232"/>
      <c r="AK38" s="25">
        <f t="shared" si="44"/>
        <v>0</v>
      </c>
      <c r="AL38" s="25">
        <f t="shared" si="45"/>
        <v>0</v>
      </c>
      <c r="AM38" s="232"/>
      <c r="AN38" s="25">
        <f t="shared" si="46"/>
        <v>0</v>
      </c>
      <c r="AO38" s="25">
        <f t="shared" si="47"/>
        <v>0</v>
      </c>
      <c r="AP38" s="232"/>
      <c r="AQ38" s="25">
        <f t="shared" si="48"/>
        <v>0</v>
      </c>
      <c r="AR38" s="25">
        <f t="shared" si="49"/>
        <v>0</v>
      </c>
      <c r="AS38" s="232"/>
      <c r="AT38" s="25">
        <f t="shared" si="50"/>
        <v>0</v>
      </c>
      <c r="AU38" s="25">
        <f t="shared" si="51"/>
        <v>0</v>
      </c>
      <c r="AV38" s="232"/>
      <c r="AW38" s="25">
        <f t="shared" si="52"/>
        <v>0</v>
      </c>
      <c r="AX38" s="25">
        <f t="shared" si="53"/>
        <v>0</v>
      </c>
      <c r="AY38" s="232"/>
      <c r="AZ38" s="25">
        <f t="shared" si="56"/>
        <v>0</v>
      </c>
      <c r="BA38" s="25">
        <f t="shared" si="57"/>
        <v>0</v>
      </c>
      <c r="BB38" s="232"/>
      <c r="BC38" s="25">
        <f t="shared" si="58"/>
        <v>0</v>
      </c>
      <c r="BD38" s="25">
        <f t="shared" si="59"/>
        <v>0</v>
      </c>
      <c r="BE38" s="232"/>
      <c r="BF38" s="25">
        <f t="shared" si="60"/>
        <v>0</v>
      </c>
      <c r="BG38" s="25">
        <f t="shared" si="61"/>
        <v>0</v>
      </c>
      <c r="BH38" s="232"/>
      <c r="BI38" s="25">
        <f t="shared" si="62"/>
        <v>0</v>
      </c>
      <c r="BJ38" s="25">
        <f t="shared" si="63"/>
        <v>0</v>
      </c>
    </row>
    <row r="39" spans="1:66" ht="15.6" customHeight="1" x14ac:dyDescent="0.2">
      <c r="A39" s="223" t="s">
        <v>1314</v>
      </c>
      <c r="B39" s="224">
        <f>+VLOOKUP(A39,Takstblad!$A$33:$B$51,2,FALSE)</f>
        <v>0</v>
      </c>
      <c r="C39" s="299"/>
      <c r="D39" s="299"/>
      <c r="E39" s="299"/>
      <c r="F39" s="299"/>
      <c r="G39" s="299"/>
      <c r="H39" s="299"/>
      <c r="I39" s="299"/>
      <c r="J39" s="299"/>
      <c r="K39" s="299"/>
      <c r="L39" s="299"/>
      <c r="M39" s="19">
        <f t="shared" si="54"/>
        <v>0</v>
      </c>
      <c r="N39" s="299"/>
      <c r="O39" s="299" t="s">
        <v>113</v>
      </c>
      <c r="P39" s="223"/>
      <c r="Q39" s="229"/>
      <c r="R39" s="227">
        <f t="shared" si="39"/>
        <v>0</v>
      </c>
      <c r="S39" s="226">
        <f>+IFERROR(IF(S$19=Takstblad!C$3,VLOOKUP('B2'!$A39,takstblad,3,FALSE)*'B2'!C39,"fejl i år"),0)</f>
        <v>0</v>
      </c>
      <c r="T39" s="226">
        <f>+IFERROR(IF(T$19=Takstblad!D$3,VLOOKUP('B2'!$A39,takstblad,4,FALSE)*'B2'!D39,"fejl i år"),0)</f>
        <v>0</v>
      </c>
      <c r="U39" s="226">
        <f>+IFERROR(IF(U$19=Takstblad!E$3,VLOOKUP('B2'!$A39,takstblad,5,FALSE)*'B2'!E39,"fejl i år"),0)</f>
        <v>0</v>
      </c>
      <c r="V39" s="226">
        <f>+IFERROR(IF(V$19=Takstblad!F$3,VLOOKUP('B2'!$A39,takstblad,6,FALSE)*'B2'!F39,"fejl i år"),0)</f>
        <v>0</v>
      </c>
      <c r="W39" s="226">
        <f>+IFERROR(IF(W$19=Takstblad!G$3,VLOOKUP('B2'!$A39,takstblad,7,FALSE)*'B2'!G39,"fejl i år"),0)</f>
        <v>0</v>
      </c>
      <c r="X39" s="226">
        <f>+IFERROR(IF(X$19=Takstblad!H$3,VLOOKUP('B2'!$A39,takstblad,8,FALSE)*'B2'!H39,"fejl i år"),0)</f>
        <v>0</v>
      </c>
      <c r="Y39" s="226">
        <f>+IFERROR(IF(Y$19=Takstblad!I$3,VLOOKUP('B2'!$A39,takstblad,9,FALSE)*'B2'!I39,"fejl i år"),0)</f>
        <v>0</v>
      </c>
      <c r="Z39" s="226">
        <f>+IFERROR(IF(Z$19=Takstblad!J$3,VLOOKUP('B2'!$A39,takstblad,10,FALSE)*'B2'!J39,"fejl i år"),0)</f>
        <v>0</v>
      </c>
      <c r="AA39" s="226">
        <f>+IFERROR(IF(AA$19=Takstblad!K$3,VLOOKUP('B2'!$A39,takstblad,10,FALSE)*'B2'!K39,"fejl i år"),0)</f>
        <v>0</v>
      </c>
      <c r="AB39" s="226">
        <f>+IFERROR(IF(AB$19=Takstblad!L$3,VLOOKUP('B2'!$A39,takstblad,10,FALSE)*'B2'!L39,"fejl i år"),0)</f>
        <v>0</v>
      </c>
      <c r="AC39" s="227">
        <f t="shared" si="55"/>
        <v>0</v>
      </c>
      <c r="AD39" s="232"/>
      <c r="AE39" s="228">
        <f t="shared" si="40"/>
        <v>0</v>
      </c>
      <c r="AF39" s="228">
        <f t="shared" si="41"/>
        <v>0</v>
      </c>
      <c r="AG39" s="232"/>
      <c r="AH39" s="228">
        <f t="shared" si="42"/>
        <v>0</v>
      </c>
      <c r="AI39" s="228">
        <f t="shared" si="43"/>
        <v>0</v>
      </c>
      <c r="AJ39" s="232"/>
      <c r="AK39" s="226">
        <f t="shared" si="44"/>
        <v>0</v>
      </c>
      <c r="AL39" s="226">
        <f t="shared" si="45"/>
        <v>0</v>
      </c>
      <c r="AM39" s="232"/>
      <c r="AN39" s="226">
        <f t="shared" si="46"/>
        <v>0</v>
      </c>
      <c r="AO39" s="226">
        <f t="shared" si="47"/>
        <v>0</v>
      </c>
      <c r="AP39" s="232"/>
      <c r="AQ39" s="226">
        <f t="shared" si="48"/>
        <v>0</v>
      </c>
      <c r="AR39" s="226">
        <f t="shared" si="49"/>
        <v>0</v>
      </c>
      <c r="AS39" s="232"/>
      <c r="AT39" s="226">
        <f t="shared" si="50"/>
        <v>0</v>
      </c>
      <c r="AU39" s="226">
        <f t="shared" si="51"/>
        <v>0</v>
      </c>
      <c r="AV39" s="232"/>
      <c r="AW39" s="226">
        <f t="shared" si="52"/>
        <v>0</v>
      </c>
      <c r="AX39" s="226">
        <f t="shared" si="53"/>
        <v>0</v>
      </c>
      <c r="AY39" s="232"/>
      <c r="AZ39" s="226">
        <f t="shared" si="56"/>
        <v>0</v>
      </c>
      <c r="BA39" s="226">
        <f t="shared" si="57"/>
        <v>0</v>
      </c>
      <c r="BB39" s="232"/>
      <c r="BC39" s="226">
        <f t="shared" si="58"/>
        <v>0</v>
      </c>
      <c r="BD39" s="226">
        <f t="shared" si="59"/>
        <v>0</v>
      </c>
      <c r="BE39" s="232"/>
      <c r="BF39" s="226">
        <f t="shared" si="60"/>
        <v>0</v>
      </c>
      <c r="BG39" s="226">
        <f t="shared" si="61"/>
        <v>0</v>
      </c>
      <c r="BH39" s="232"/>
      <c r="BI39" s="226">
        <f t="shared" si="62"/>
        <v>0</v>
      </c>
      <c r="BJ39" s="226">
        <f t="shared" si="63"/>
        <v>0</v>
      </c>
    </row>
    <row r="40" spans="1:66" ht="15.6" customHeight="1" x14ac:dyDescent="0.2">
      <c r="A40" s="7" t="s">
        <v>1314</v>
      </c>
      <c r="B40" s="4">
        <f>+VLOOKUP(A40,Takstblad!$A$33:$B$51,2,FALSE)</f>
        <v>0</v>
      </c>
      <c r="C40" s="299"/>
      <c r="D40" s="299"/>
      <c r="E40" s="299"/>
      <c r="F40" s="299"/>
      <c r="G40" s="299"/>
      <c r="H40" s="299"/>
      <c r="I40" s="299"/>
      <c r="J40" s="299"/>
      <c r="K40" s="299"/>
      <c r="L40" s="299"/>
      <c r="M40" s="19">
        <f t="shared" si="54"/>
        <v>0</v>
      </c>
      <c r="N40" s="299"/>
      <c r="O40" s="299" t="s">
        <v>113</v>
      </c>
      <c r="Q40" s="26"/>
      <c r="R40" s="21">
        <f t="shared" si="39"/>
        <v>0</v>
      </c>
      <c r="S40" s="25">
        <f>+IFERROR(IF(S$19=Takstblad!C$3,VLOOKUP('B2'!$A40,takstblad,3,FALSE)*'B2'!C40,"fejl i år"),0)</f>
        <v>0</v>
      </c>
      <c r="T40" s="25">
        <f>+IFERROR(IF(T$19=Takstblad!D$3,VLOOKUP('B2'!$A40,takstblad,4,FALSE)*'B2'!D40,"fejl i år"),0)</f>
        <v>0</v>
      </c>
      <c r="U40" s="25">
        <f>+IFERROR(IF(U$19=Takstblad!E$3,VLOOKUP('B2'!$A40,takstblad,5,FALSE)*'B2'!E40,"fejl i år"),0)</f>
        <v>0</v>
      </c>
      <c r="V40" s="25">
        <f>+IFERROR(IF(V$19=Takstblad!F$3,VLOOKUP('B2'!$A40,takstblad,6,FALSE)*'B2'!F40,"fejl i år"),0)</f>
        <v>0</v>
      </c>
      <c r="W40" s="25">
        <f>+IFERROR(IF(W$19=Takstblad!G$3,VLOOKUP('B2'!$A40,takstblad,7,FALSE)*'B2'!G40,"fejl i år"),0)</f>
        <v>0</v>
      </c>
      <c r="X40" s="25">
        <f>+IFERROR(IF(X$19=Takstblad!H$3,VLOOKUP('B2'!$A40,takstblad,8,FALSE)*'B2'!H40,"fejl i år"),0)</f>
        <v>0</v>
      </c>
      <c r="Y40" s="25">
        <f>+IFERROR(IF(Y$19=Takstblad!I$3,VLOOKUP('B2'!$A40,takstblad,9,FALSE)*'B2'!I40,"fejl i år"),0)</f>
        <v>0</v>
      </c>
      <c r="Z40" s="25">
        <f>+IFERROR(IF(Z$19=Takstblad!J$3,VLOOKUP('B2'!$A40,takstblad,10,FALSE)*'B2'!J40,"fejl i år"),0)</f>
        <v>0</v>
      </c>
      <c r="AA40" s="25">
        <f>+IFERROR(IF(AA$19=Takstblad!K$3,VLOOKUP('B2'!$A40,takstblad,10,FALSE)*'B2'!K40,"fejl i år"),0)</f>
        <v>0</v>
      </c>
      <c r="AB40" s="25">
        <f>+IFERROR(IF(AB$19=Takstblad!L$3,VLOOKUP('B2'!$A40,takstblad,10,FALSE)*'B2'!L40,"fejl i år"),0)</f>
        <v>0</v>
      </c>
      <c r="AC40" s="21">
        <f t="shared" si="55"/>
        <v>0</v>
      </c>
      <c r="AD40" s="232"/>
      <c r="AE40" s="25">
        <f t="shared" si="40"/>
        <v>0</v>
      </c>
      <c r="AF40" s="25">
        <f t="shared" si="41"/>
        <v>0</v>
      </c>
      <c r="AG40" s="232"/>
      <c r="AH40" s="25">
        <f t="shared" si="42"/>
        <v>0</v>
      </c>
      <c r="AI40" s="25">
        <f t="shared" si="43"/>
        <v>0</v>
      </c>
      <c r="AJ40" s="232"/>
      <c r="AK40" s="25">
        <f t="shared" si="44"/>
        <v>0</v>
      </c>
      <c r="AL40" s="25">
        <f t="shared" si="45"/>
        <v>0</v>
      </c>
      <c r="AM40" s="232"/>
      <c r="AN40" s="25">
        <f t="shared" si="46"/>
        <v>0</v>
      </c>
      <c r="AO40" s="25">
        <f t="shared" si="47"/>
        <v>0</v>
      </c>
      <c r="AP40" s="232"/>
      <c r="AQ40" s="25">
        <f t="shared" si="48"/>
        <v>0</v>
      </c>
      <c r="AR40" s="25">
        <f t="shared" si="49"/>
        <v>0</v>
      </c>
      <c r="AS40" s="232"/>
      <c r="AT40" s="25">
        <f t="shared" si="50"/>
        <v>0</v>
      </c>
      <c r="AU40" s="25">
        <f t="shared" si="51"/>
        <v>0</v>
      </c>
      <c r="AV40" s="232"/>
      <c r="AW40" s="25">
        <f t="shared" si="52"/>
        <v>0</v>
      </c>
      <c r="AX40" s="25">
        <f t="shared" si="53"/>
        <v>0</v>
      </c>
      <c r="AY40" s="232"/>
      <c r="AZ40" s="25">
        <f t="shared" si="56"/>
        <v>0</v>
      </c>
      <c r="BA40" s="25">
        <f t="shared" si="57"/>
        <v>0</v>
      </c>
      <c r="BB40" s="232"/>
      <c r="BC40" s="25">
        <f t="shared" si="58"/>
        <v>0</v>
      </c>
      <c r="BD40" s="25">
        <f t="shared" si="59"/>
        <v>0</v>
      </c>
      <c r="BE40" s="232"/>
      <c r="BF40" s="25">
        <f t="shared" si="60"/>
        <v>0</v>
      </c>
      <c r="BG40" s="25">
        <f t="shared" si="61"/>
        <v>0</v>
      </c>
      <c r="BH40" s="232"/>
      <c r="BI40" s="25">
        <f t="shared" si="62"/>
        <v>0</v>
      </c>
      <c r="BJ40" s="25">
        <f t="shared" si="63"/>
        <v>0</v>
      </c>
    </row>
    <row r="41" spans="1:66" ht="15.6" customHeight="1" x14ac:dyDescent="0.2">
      <c r="A41" s="223" t="s">
        <v>1314</v>
      </c>
      <c r="B41" s="224">
        <f>+VLOOKUP(A41,Takstblad!$A$33:$B$51,2,FALSE)</f>
        <v>0</v>
      </c>
      <c r="C41" s="299"/>
      <c r="D41" s="299"/>
      <c r="E41" s="299"/>
      <c r="F41" s="299"/>
      <c r="G41" s="299"/>
      <c r="H41" s="299"/>
      <c r="I41" s="299"/>
      <c r="J41" s="299"/>
      <c r="K41" s="299"/>
      <c r="L41" s="299"/>
      <c r="M41" s="19">
        <f t="shared" si="54"/>
        <v>0</v>
      </c>
      <c r="N41" s="299"/>
      <c r="O41" s="299" t="s">
        <v>113</v>
      </c>
      <c r="P41" s="223"/>
      <c r="Q41" s="229"/>
      <c r="R41" s="227">
        <f t="shared" si="39"/>
        <v>0</v>
      </c>
      <c r="S41" s="226">
        <f>+IFERROR(IF(S$19=Takstblad!C$3,VLOOKUP('B2'!$A41,takstblad,3,FALSE)*'B2'!C41,"fejl i år"),0)</f>
        <v>0</v>
      </c>
      <c r="T41" s="226">
        <f>+IFERROR(IF(T$19=Takstblad!D$3,VLOOKUP('B2'!$A41,takstblad,4,FALSE)*'B2'!D41,"fejl i år"),0)</f>
        <v>0</v>
      </c>
      <c r="U41" s="226">
        <f>+IFERROR(IF(U$19=Takstblad!E$3,VLOOKUP('B2'!$A41,takstblad,5,FALSE)*'B2'!E41,"fejl i år"),0)</f>
        <v>0</v>
      </c>
      <c r="V41" s="226">
        <f>+IFERROR(IF(V$19=Takstblad!F$3,VLOOKUP('B2'!$A41,takstblad,6,FALSE)*'B2'!F41,"fejl i år"),0)</f>
        <v>0</v>
      </c>
      <c r="W41" s="226">
        <f>+IFERROR(IF(W$19=Takstblad!G$3,VLOOKUP('B2'!$A41,takstblad,7,FALSE)*'B2'!G41,"fejl i år"),0)</f>
        <v>0</v>
      </c>
      <c r="X41" s="226">
        <f>+IFERROR(IF(X$19=Takstblad!H$3,VLOOKUP('B2'!$A41,takstblad,8,FALSE)*'B2'!H41,"fejl i år"),0)</f>
        <v>0</v>
      </c>
      <c r="Y41" s="226">
        <f>+IFERROR(IF(Y$19=Takstblad!I$3,VLOOKUP('B2'!$A41,takstblad,9,FALSE)*'B2'!I41,"fejl i år"),0)</f>
        <v>0</v>
      </c>
      <c r="Z41" s="226">
        <f>+IFERROR(IF(Z$19=Takstblad!J$3,VLOOKUP('B2'!$A41,takstblad,10,FALSE)*'B2'!J41,"fejl i år"),0)</f>
        <v>0</v>
      </c>
      <c r="AA41" s="226">
        <f>+IFERROR(IF(AA$19=Takstblad!K$3,VLOOKUP('B2'!$A41,takstblad,10,FALSE)*'B2'!K41,"fejl i år"),0)</f>
        <v>0</v>
      </c>
      <c r="AB41" s="226">
        <f>+IFERROR(IF(AB$19=Takstblad!L$3,VLOOKUP('B2'!$A41,takstblad,10,FALSE)*'B2'!L41,"fejl i år"),0)</f>
        <v>0</v>
      </c>
      <c r="AC41" s="227">
        <f t="shared" si="55"/>
        <v>0</v>
      </c>
      <c r="AD41" s="232"/>
      <c r="AE41" s="228">
        <f t="shared" si="40"/>
        <v>0</v>
      </c>
      <c r="AF41" s="228">
        <f t="shared" si="41"/>
        <v>0</v>
      </c>
      <c r="AG41" s="232"/>
      <c r="AH41" s="228">
        <f t="shared" si="42"/>
        <v>0</v>
      </c>
      <c r="AI41" s="228">
        <f t="shared" si="43"/>
        <v>0</v>
      </c>
      <c r="AJ41" s="232"/>
      <c r="AK41" s="226">
        <f t="shared" si="44"/>
        <v>0</v>
      </c>
      <c r="AL41" s="226">
        <f t="shared" si="45"/>
        <v>0</v>
      </c>
      <c r="AM41" s="232"/>
      <c r="AN41" s="226">
        <f t="shared" si="46"/>
        <v>0</v>
      </c>
      <c r="AO41" s="226">
        <f t="shared" si="47"/>
        <v>0</v>
      </c>
      <c r="AP41" s="232"/>
      <c r="AQ41" s="226">
        <f t="shared" si="48"/>
        <v>0</v>
      </c>
      <c r="AR41" s="226">
        <f t="shared" si="49"/>
        <v>0</v>
      </c>
      <c r="AS41" s="232"/>
      <c r="AT41" s="226">
        <f t="shared" si="50"/>
        <v>0</v>
      </c>
      <c r="AU41" s="226">
        <f t="shared" si="51"/>
        <v>0</v>
      </c>
      <c r="AV41" s="232"/>
      <c r="AW41" s="226">
        <f t="shared" si="52"/>
        <v>0</v>
      </c>
      <c r="AX41" s="226">
        <f t="shared" si="53"/>
        <v>0</v>
      </c>
      <c r="AY41" s="232"/>
      <c r="AZ41" s="226">
        <f t="shared" si="56"/>
        <v>0</v>
      </c>
      <c r="BA41" s="226">
        <f t="shared" si="57"/>
        <v>0</v>
      </c>
      <c r="BB41" s="232"/>
      <c r="BC41" s="226">
        <f t="shared" si="58"/>
        <v>0</v>
      </c>
      <c r="BD41" s="226">
        <f t="shared" si="59"/>
        <v>0</v>
      </c>
      <c r="BE41" s="232"/>
      <c r="BF41" s="226">
        <f t="shared" si="60"/>
        <v>0</v>
      </c>
      <c r="BG41" s="226">
        <f t="shared" si="61"/>
        <v>0</v>
      </c>
      <c r="BH41" s="232"/>
      <c r="BI41" s="226">
        <f t="shared" si="62"/>
        <v>0</v>
      </c>
      <c r="BJ41" s="226">
        <f t="shared" si="63"/>
        <v>0</v>
      </c>
    </row>
    <row r="42" spans="1:66" ht="15.6" customHeight="1" x14ac:dyDescent="0.2">
      <c r="A42" s="7" t="s">
        <v>1314</v>
      </c>
      <c r="B42" s="4">
        <f>+VLOOKUP(A42,Takstblad!$A$33:$B$51,2,FALSE)</f>
        <v>0</v>
      </c>
      <c r="C42" s="299"/>
      <c r="D42" s="299"/>
      <c r="E42" s="299"/>
      <c r="F42" s="299"/>
      <c r="G42" s="299"/>
      <c r="H42" s="299"/>
      <c r="I42" s="299"/>
      <c r="J42" s="299"/>
      <c r="K42" s="299"/>
      <c r="L42" s="299"/>
      <c r="M42" s="19">
        <f t="shared" si="54"/>
        <v>0</v>
      </c>
      <c r="N42" s="299"/>
      <c r="O42" s="299" t="s">
        <v>113</v>
      </c>
      <c r="Q42" s="23"/>
      <c r="R42" s="21">
        <f t="shared" si="39"/>
        <v>0</v>
      </c>
      <c r="S42" s="25">
        <f>+IFERROR(IF(S$19=Takstblad!C$3,VLOOKUP('B2'!$A42,takstblad,3,FALSE)*'B2'!C42,"fejl i år"),0)</f>
        <v>0</v>
      </c>
      <c r="T42" s="25">
        <f>+IFERROR(IF(T$19=Takstblad!D$3,VLOOKUP('B2'!$A42,takstblad,4,FALSE)*'B2'!D42,"fejl i år"),0)</f>
        <v>0</v>
      </c>
      <c r="U42" s="25">
        <f>+IFERROR(IF(U$19=Takstblad!E$3,VLOOKUP('B2'!$A42,takstblad,5,FALSE)*'B2'!E42,"fejl i år"),0)</f>
        <v>0</v>
      </c>
      <c r="V42" s="25">
        <f>+IFERROR(IF(V$19=Takstblad!F$3,VLOOKUP('B2'!$A42,takstblad,6,FALSE)*'B2'!F42,"fejl i år"),0)</f>
        <v>0</v>
      </c>
      <c r="W42" s="25">
        <f>+IFERROR(IF(W$19=Takstblad!G$3,VLOOKUP('B2'!$A42,takstblad,7,FALSE)*'B2'!G42,"fejl i år"),0)</f>
        <v>0</v>
      </c>
      <c r="X42" s="25">
        <f>+IFERROR(IF(X$19=Takstblad!H$3,VLOOKUP('B2'!$A42,takstblad,8,FALSE)*'B2'!H42,"fejl i år"),0)</f>
        <v>0</v>
      </c>
      <c r="Y42" s="25">
        <f>+IFERROR(IF(Y$19=Takstblad!I$3,VLOOKUP('B2'!$A42,takstblad,9,FALSE)*'B2'!I42,"fejl i år"),0)</f>
        <v>0</v>
      </c>
      <c r="Z42" s="25">
        <f>+IFERROR(IF(Z$19=Takstblad!J$3,VLOOKUP('B2'!$A42,takstblad,10,FALSE)*'B2'!J42,"fejl i år"),0)</f>
        <v>0</v>
      </c>
      <c r="AA42" s="25">
        <f>+IFERROR(IF(AA$19=Takstblad!K$3,VLOOKUP('B2'!$A42,takstblad,10,FALSE)*'B2'!K42,"fejl i år"),0)</f>
        <v>0</v>
      </c>
      <c r="AB42" s="25">
        <f>+IFERROR(IF(AB$19=Takstblad!L$3,VLOOKUP('B2'!$A42,takstblad,10,FALSE)*'B2'!L42,"fejl i år"),0)</f>
        <v>0</v>
      </c>
      <c r="AC42" s="21">
        <f t="shared" si="55"/>
        <v>0</v>
      </c>
      <c r="AD42" s="232"/>
      <c r="AE42" s="25">
        <f t="shared" si="40"/>
        <v>0</v>
      </c>
      <c r="AF42" s="25">
        <f t="shared" si="41"/>
        <v>0</v>
      </c>
      <c r="AG42" s="232"/>
      <c r="AH42" s="25">
        <f t="shared" si="42"/>
        <v>0</v>
      </c>
      <c r="AI42" s="25">
        <f t="shared" si="43"/>
        <v>0</v>
      </c>
      <c r="AJ42" s="232"/>
      <c r="AK42" s="25">
        <f t="shared" si="44"/>
        <v>0</v>
      </c>
      <c r="AL42" s="25">
        <f t="shared" si="45"/>
        <v>0</v>
      </c>
      <c r="AM42" s="232"/>
      <c r="AN42" s="25">
        <f t="shared" si="46"/>
        <v>0</v>
      </c>
      <c r="AO42" s="25">
        <f t="shared" si="47"/>
        <v>0</v>
      </c>
      <c r="AP42" s="232"/>
      <c r="AQ42" s="25">
        <f t="shared" si="48"/>
        <v>0</v>
      </c>
      <c r="AR42" s="25">
        <f t="shared" si="49"/>
        <v>0</v>
      </c>
      <c r="AS42" s="232"/>
      <c r="AT42" s="25">
        <f t="shared" si="50"/>
        <v>0</v>
      </c>
      <c r="AU42" s="25">
        <f t="shared" si="51"/>
        <v>0</v>
      </c>
      <c r="AV42" s="232"/>
      <c r="AW42" s="25">
        <f t="shared" si="52"/>
        <v>0</v>
      </c>
      <c r="AX42" s="25">
        <f t="shared" si="53"/>
        <v>0</v>
      </c>
      <c r="AY42" s="232"/>
      <c r="AZ42" s="25">
        <f t="shared" si="56"/>
        <v>0</v>
      </c>
      <c r="BA42" s="25">
        <f t="shared" si="57"/>
        <v>0</v>
      </c>
      <c r="BB42" s="232"/>
      <c r="BC42" s="25">
        <f t="shared" si="58"/>
        <v>0</v>
      </c>
      <c r="BD42" s="25">
        <f t="shared" si="59"/>
        <v>0</v>
      </c>
      <c r="BE42" s="232"/>
      <c r="BF42" s="25">
        <f t="shared" si="60"/>
        <v>0</v>
      </c>
      <c r="BG42" s="25">
        <f t="shared" si="61"/>
        <v>0</v>
      </c>
      <c r="BH42" s="232"/>
      <c r="BI42" s="25">
        <f t="shared" si="62"/>
        <v>0</v>
      </c>
      <c r="BJ42" s="25">
        <f t="shared" si="63"/>
        <v>0</v>
      </c>
    </row>
    <row r="43" spans="1:66" s="11" customFormat="1" ht="15.6" customHeight="1" x14ac:dyDescent="0.2">
      <c r="A43" s="5" t="s">
        <v>232</v>
      </c>
      <c r="B43" s="4"/>
      <c r="C43" s="166">
        <f>IF($C$12=2,0,IF($C$8="Project-supplement",0,S43/Takstblad!C54))</f>
        <v>0</v>
      </c>
      <c r="D43" s="166">
        <f>IF($C$12=2,0,IF($C$8="Project-supplement",0,T43/Takstblad!D54))</f>
        <v>0</v>
      </c>
      <c r="E43" s="166">
        <f>IF($C$12=2,0,IF($C$8="Project-supplement",0,U43/Takstblad!E54))</f>
        <v>0</v>
      </c>
      <c r="F43" s="166">
        <f>IF($C$12=2,0,IF($C$8="Project-supplement",0,V43/Takstblad!F54))</f>
        <v>0</v>
      </c>
      <c r="G43" s="166">
        <f>IF($C$12=2,0,IF($C$8="Project-supplement",0,W43/Takstblad!G54))</f>
        <v>0</v>
      </c>
      <c r="H43" s="166">
        <f>IF($C$12=2,0,IF($C$8="Project-supplement",0,X43/Takstblad!H54))</f>
        <v>0</v>
      </c>
      <c r="I43" s="166">
        <f>IF($C$12=2,0,IF($C$8="Project-supplement",0,Y43/Takstblad!I54))</f>
        <v>0</v>
      </c>
      <c r="J43" s="166">
        <f>IF($C$12=2,0,IF($C$8="Project-supplement",0,Z43/Takstblad!J54))</f>
        <v>0</v>
      </c>
      <c r="K43" s="166">
        <f>IF($C$12=2,0,IF($C$8="Project-supplement",0,AA43/Takstblad!K54))</f>
        <v>0</v>
      </c>
      <c r="L43" s="166">
        <f>IF($C$12=2,0,IF($C$8="Project-supplement",0,AB43/Takstblad!L54))</f>
        <v>0</v>
      </c>
      <c r="M43" s="65">
        <f t="shared" si="54"/>
        <v>0</v>
      </c>
      <c r="N43" s="20"/>
      <c r="O43" s="168" t="s">
        <v>152</v>
      </c>
      <c r="Q43" s="27"/>
      <c r="R43" s="21">
        <f>+AC43</f>
        <v>0</v>
      </c>
      <c r="S43" s="25">
        <f>IFERROR(IF($C$12=2,0,IF(OR($G$7="salary and operations",$G$7="Salary"),VLOOKUP($C$2,Takstblad!$B$55:$L$67,2,FALSE)*C$48,0)),0)</f>
        <v>0</v>
      </c>
      <c r="T43" s="25">
        <f>IFERROR(IF($C$12=2,0,IF(OR($G$7="salary and operations",$G$7="Salary"),VLOOKUP($C$2,Takstblad!$B$55:$L$67,2,FALSE)*D$48,0)),0)</f>
        <v>0</v>
      </c>
      <c r="U43" s="25">
        <f>IFERROR(IF($C$12=2,0,IF(OR($G$7="salary and operations",$G$7="Salary"),VLOOKUP($C$2,Takstblad!$B$55:$L$67,2,FALSE)*E$48,0)),0)</f>
        <v>0</v>
      </c>
      <c r="V43" s="25">
        <f>IFERROR(IF($C$12=2,0,IF(OR($G$7="salary and operations",$G$7="Salary"),VLOOKUP($C$2,Takstblad!$B$55:$L$67,2,FALSE)*F$48,0)),0)</f>
        <v>0</v>
      </c>
      <c r="W43" s="25">
        <f>IFERROR(IF($C$12=2,0,IF(OR($G$7="salary and operations",$G$7="Salary"),VLOOKUP($C$2,Takstblad!$B$55:$L$67,2,FALSE)*G$48,0)),0)</f>
        <v>0</v>
      </c>
      <c r="X43" s="25">
        <f>IFERROR(IF($C$12=2,0,IF(OR($G$7="salary and operations",$G$7="Salary"),VLOOKUP($C$2,Takstblad!$B$55:$L$67,2,FALSE)*H$48,0)),0)</f>
        <v>0</v>
      </c>
      <c r="Y43" s="25">
        <f>IFERROR(IF($C$12=2,0,IF(OR($G$7="salary and operations",$G$7="Salary"),VLOOKUP($C$2,Takstblad!$B$55:$L$67,2,FALSE)*I$48,0)),0)</f>
        <v>0</v>
      </c>
      <c r="Z43" s="25">
        <f>IFERROR(IF($C$12=2,0,IF(OR($G$7="salary and operations",$G$7="Salary"),VLOOKUP($C$2,Takstblad!$B$55:$L$67,2,FALSE)*J$48,0)),0)</f>
        <v>0</v>
      </c>
      <c r="AA43" s="25">
        <f>IFERROR(IF($C$12=2,0,IF(OR($G$7="salary and operations",$G$7="Salary"),VLOOKUP($C$2,Takstblad!$B$55:$L$67,2,FALSE)*K$48,0)),0)</f>
        <v>0</v>
      </c>
      <c r="AB43" s="25">
        <f>IFERROR(IF($C$12=2,0,IF(OR($G$7="salary and operations",$G$7="Salary"),VLOOKUP($C$2,Takstblad!$B$55:$L$67,2,FALSE)*L$48,0)),0)</f>
        <v>0</v>
      </c>
      <c r="AC43" s="21">
        <f t="shared" si="55"/>
        <v>0</v>
      </c>
      <c r="AD43" s="232"/>
      <c r="AE43" s="25">
        <f>+M43*($C$7/12)</f>
        <v>0</v>
      </c>
      <c r="AF43" s="25">
        <f t="shared" si="41"/>
        <v>0</v>
      </c>
      <c r="AG43" s="7"/>
      <c r="AH43" s="25">
        <f t="shared" si="42"/>
        <v>0</v>
      </c>
      <c r="AI43" s="25">
        <f t="shared" si="43"/>
        <v>0</v>
      </c>
      <c r="AJ43" s="7"/>
      <c r="AK43" s="25">
        <f t="shared" si="44"/>
        <v>0</v>
      </c>
      <c r="AL43" s="25">
        <f t="shared" si="45"/>
        <v>0</v>
      </c>
      <c r="AM43" s="232"/>
      <c r="AN43" s="25">
        <f t="shared" si="46"/>
        <v>0</v>
      </c>
      <c r="AO43" s="25">
        <f t="shared" si="47"/>
        <v>0</v>
      </c>
      <c r="AP43" s="232"/>
      <c r="AQ43" s="25">
        <f t="shared" si="48"/>
        <v>0</v>
      </c>
      <c r="AR43" s="25">
        <f t="shared" si="49"/>
        <v>0</v>
      </c>
      <c r="AS43" s="232"/>
      <c r="AT43" s="25">
        <f t="shared" si="50"/>
        <v>0</v>
      </c>
      <c r="AU43" s="25">
        <f t="shared" si="51"/>
        <v>0</v>
      </c>
      <c r="AV43" s="232"/>
      <c r="AW43" s="25">
        <f t="shared" si="52"/>
        <v>0</v>
      </c>
      <c r="AX43" s="25">
        <f t="shared" si="53"/>
        <v>0</v>
      </c>
      <c r="AY43" s="7"/>
      <c r="AZ43" s="25">
        <f t="shared" si="56"/>
        <v>0</v>
      </c>
      <c r="BA43" s="25">
        <f t="shared" si="57"/>
        <v>0</v>
      </c>
      <c r="BB43" s="7"/>
      <c r="BC43" s="25">
        <f t="shared" si="58"/>
        <v>0</v>
      </c>
      <c r="BD43" s="25">
        <f t="shared" si="59"/>
        <v>0</v>
      </c>
      <c r="BE43" s="7"/>
      <c r="BF43" s="25">
        <f t="shared" si="60"/>
        <v>0</v>
      </c>
      <c r="BG43" s="25">
        <f t="shared" si="61"/>
        <v>0</v>
      </c>
      <c r="BH43" s="7"/>
      <c r="BI43" s="25">
        <f t="shared" si="62"/>
        <v>0</v>
      </c>
      <c r="BJ43" s="25">
        <f t="shared" si="63"/>
        <v>0</v>
      </c>
      <c r="BK43" s="7"/>
      <c r="BL43" s="7"/>
      <c r="BM43" s="7"/>
      <c r="BN43" s="7"/>
    </row>
    <row r="44" spans="1:66" s="11" customFormat="1" ht="15.6" customHeight="1" x14ac:dyDescent="0.2">
      <c r="A44" s="5" t="s">
        <v>233</v>
      </c>
      <c r="B44" s="4"/>
      <c r="C44" s="166">
        <f>IF($C$12=2,0,IF($C$8="project-supplement",0,S44/Takstblad!C54))</f>
        <v>0</v>
      </c>
      <c r="D44" s="166">
        <f>IF($C$12=2,0,IF($C$8="project-supplement",0,T44/Takstblad!D54))</f>
        <v>0</v>
      </c>
      <c r="E44" s="166">
        <f>IF($C$12=2,0,IF($C$8="project-supplement",0,U44/Takstblad!E54))</f>
        <v>0</v>
      </c>
      <c r="F44" s="166">
        <f>IF($C$12=2,0,IF($C$8="project-supplement",0,V44/Takstblad!F54))</f>
        <v>0</v>
      </c>
      <c r="G44" s="166">
        <f>IF($C$12=2,0,IF($C$8="project-supplement",0,W44/Takstblad!G54))</f>
        <v>0</v>
      </c>
      <c r="H44" s="166">
        <f>IF($C$12=2,0,IF($C$8="project-supplement",0,X44/Takstblad!H54))</f>
        <v>0</v>
      </c>
      <c r="I44" s="166">
        <f>IF($C$12=2,0,IF($C$8="project-supplement",0,Y44/Takstblad!I54))</f>
        <v>0</v>
      </c>
      <c r="J44" s="166">
        <f>IF($C$12=2,0,IF($C$8="project-supplement",0,Z44/Takstblad!J54))</f>
        <v>0</v>
      </c>
      <c r="K44" s="166">
        <f>IF($C$12=2,0,IF($C$8="project-supplement",0,AA44/Takstblad!K54))</f>
        <v>0</v>
      </c>
      <c r="L44" s="166">
        <f>IF($C$12=2,0,IF($C$8="project-supplement",0,AB44/Takstblad!L54))</f>
        <v>0</v>
      </c>
      <c r="M44" s="65">
        <f t="shared" si="54"/>
        <v>0</v>
      </c>
      <c r="N44" s="94"/>
      <c r="O44" s="168" t="s">
        <v>112</v>
      </c>
      <c r="Q44" s="27"/>
      <c r="R44" s="21">
        <f t="shared" si="39"/>
        <v>0</v>
      </c>
      <c r="S44" s="25">
        <f>IFERROR(IF($C$12=2,0,IF(OR($G$7="salary and operations",$G$7="Salary"),VLOOKUP($C$2,Takstblad!$B$55:$L$67,2,FALSE)*C$49,0)),0)</f>
        <v>0</v>
      </c>
      <c r="T44" s="25">
        <f>IFERROR(IF($C$12=2,0,IF(OR($G$7="salary and operations",$G$7="Salary"),VLOOKUP($C$2,Takstblad!$B$55:$L$67,2,FALSE)*D$49,0)),0)</f>
        <v>0</v>
      </c>
      <c r="U44" s="25">
        <f>IFERROR(IF($C$12=2,0,IF(OR($G$7="salary and operations",$G$7="Salary"),VLOOKUP($C$2,Takstblad!$B$55:$L$67,2,FALSE)*E$49,0)),0)</f>
        <v>0</v>
      </c>
      <c r="V44" s="25">
        <f>IFERROR(IF($C$12=2,0,IF(OR($G$7="salary and operations",$G$7="Salary"),VLOOKUP($C$2,Takstblad!$B$55:$L$67,2,FALSE)*F$49,0)),0)</f>
        <v>0</v>
      </c>
      <c r="W44" s="25">
        <f>IFERROR(IF($C$12=2,0,IF(OR($G$7="salary and operations",$G$7="Salary"),VLOOKUP($C$2,Takstblad!$B$55:$L$67,2,FALSE)*G$49,0)),0)</f>
        <v>0</v>
      </c>
      <c r="X44" s="25">
        <f>IFERROR(IF($C$12=2,0,IF(OR($G$7="salary and operations",$G$7="Salary"),VLOOKUP($C$2,Takstblad!$B$55:$L$67,2,FALSE)*H$49,0)),0)</f>
        <v>0</v>
      </c>
      <c r="Y44" s="25">
        <f>IFERROR(IF($C$12=2,0,IF(OR($G$7="salary and operations",$G$7="Salary"),VLOOKUP($C$2,Takstblad!$B$55:$L$67,2,FALSE)*I$49,0)),0)</f>
        <v>0</v>
      </c>
      <c r="Z44" s="25">
        <f>IFERROR(IF($C$12=2,0,IF(OR($G$7="salary and operations",$G$7="Salary"),VLOOKUP($C$2,Takstblad!$B$55:$L$67,2,FALSE)*J$49,0)),0)</f>
        <v>0</v>
      </c>
      <c r="AA44" s="25">
        <f>IFERROR(IF($C$12=2,0,IF(OR($G$7="salary and operations",$G$7="Salary"),VLOOKUP($C$2,Takstblad!$B$55:$L$67,2,FALSE)*K$49,0)),0)</f>
        <v>0</v>
      </c>
      <c r="AB44" s="25">
        <f>IFERROR(IF($C$12=2,0,IF(OR($G$7="salary and operations",$G$7="Salary"),VLOOKUP($C$2,Takstblad!$B$55:$L$67,2,FALSE)*L$49,0)),0)</f>
        <v>0</v>
      </c>
      <c r="AC44" s="21">
        <f t="shared" si="55"/>
        <v>0</v>
      </c>
      <c r="AD44" s="7"/>
      <c r="AE44" s="25">
        <f t="shared" ref="AE44:AE45" si="64">+M44*($C$7/12)</f>
        <v>0</v>
      </c>
      <c r="AF44" s="25">
        <f t="shared" ref="AF44:AF45" si="65">IFERROR(AC44/AE44,0)</f>
        <v>0</v>
      </c>
      <c r="AG44" s="7"/>
      <c r="AH44" s="25">
        <f t="shared" ref="AH44:AH45" si="66">+C44*($C$7/12)</f>
        <v>0</v>
      </c>
      <c r="AI44" s="25">
        <f t="shared" ref="AI44:AI45" si="67">IFERROR(S44/AH44,0)</f>
        <v>0</v>
      </c>
      <c r="AJ44" s="7"/>
      <c r="AK44" s="25">
        <f t="shared" ref="AK44:AK45" si="68">+D44*($C$7/12)</f>
        <v>0</v>
      </c>
      <c r="AL44" s="25">
        <f t="shared" ref="AL44:AL45" si="69">IFERROR(T44/AK44,0)</f>
        <v>0</v>
      </c>
      <c r="AM44" s="7"/>
      <c r="AN44" s="25">
        <f t="shared" ref="AN44:AN45" si="70">+E44*($C$7/12)</f>
        <v>0</v>
      </c>
      <c r="AO44" s="25">
        <f t="shared" ref="AO44:AO45" si="71">IFERROR(U44/AN44,0)</f>
        <v>0</v>
      </c>
      <c r="AP44" s="232"/>
      <c r="AQ44" s="25">
        <f t="shared" ref="AQ44:AQ45" si="72">+F44*($C$7/12)</f>
        <v>0</v>
      </c>
      <c r="AR44" s="25">
        <f t="shared" ref="AR44:AR45" si="73">IFERROR(V44/AQ44,0)</f>
        <v>0</v>
      </c>
      <c r="AS44" s="7"/>
      <c r="AT44" s="25">
        <f t="shared" ref="AT44:AT45" si="74">+G44*($C$7/12)</f>
        <v>0</v>
      </c>
      <c r="AU44" s="25">
        <f t="shared" ref="AU44:AU45" si="75">IFERROR(W44/AT44,0)</f>
        <v>0</v>
      </c>
      <c r="AV44" s="7"/>
      <c r="AW44" s="25">
        <f t="shared" ref="AW44:AW45" si="76">+H44*($C$7/12)</f>
        <v>0</v>
      </c>
      <c r="AX44" s="25">
        <f t="shared" ref="AX44:AX45" si="77">IFERROR(X44/AW44,0)</f>
        <v>0</v>
      </c>
      <c r="AY44" s="7"/>
      <c r="AZ44" s="25">
        <f t="shared" ref="AZ44:AZ45" si="78">+I44*($C$7/12)</f>
        <v>0</v>
      </c>
      <c r="BA44" s="25">
        <f t="shared" ref="BA44:BA45" si="79">IFERROR(Y44/AZ44,0)</f>
        <v>0</v>
      </c>
      <c r="BB44" s="7"/>
      <c r="BC44" s="25">
        <f t="shared" ref="BC44:BC45" si="80">+J44*($C$7/12)</f>
        <v>0</v>
      </c>
      <c r="BD44" s="25">
        <f t="shared" ref="BD44:BD45" si="81">IFERROR(Z44/BC44,0)</f>
        <v>0</v>
      </c>
      <c r="BE44" s="7"/>
      <c r="BF44" s="25">
        <f t="shared" si="60"/>
        <v>0</v>
      </c>
      <c r="BG44" s="25">
        <f t="shared" si="61"/>
        <v>0</v>
      </c>
      <c r="BH44" s="7"/>
      <c r="BI44" s="25">
        <f t="shared" si="62"/>
        <v>0</v>
      </c>
      <c r="BJ44" s="25">
        <f t="shared" si="63"/>
        <v>0</v>
      </c>
      <c r="BK44" s="7"/>
      <c r="BL44" s="7"/>
      <c r="BM44" s="7"/>
      <c r="BN44" s="7"/>
    </row>
    <row r="45" spans="1:66" ht="15.6" customHeight="1" thickBot="1" x14ac:dyDescent="0.25">
      <c r="A45" s="5" t="s">
        <v>772</v>
      </c>
      <c r="B45" s="4"/>
      <c r="C4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$33:$O$42,Lister!$D$29,C$33:C$42)-SUMIFS(C$33:C$42,$O$33:$O$42,Lister!$D$29,$A$33:$A$42,Takstblad!$A$34)-SUMIFS(C$33:C$42,$O$33:$O$42,Lister!$D$29,$A$33:$A$42,Takstblad!$A$36)-SUMIFS(C$33:C$42,$O$33:$O$42,Lister!$D$29,$A$33:$A$42,Takstblad!$A$41)-SUMIFS(C$33:C$42,$O$33:$O$42,Lister!$D$29,$A$33:$A$42,Takstblad!$A$42)+SUMIF($O$33:$O$42,Lister!$D$30,C$33:C$42)-SUMIFS(C$33:C$42,$O$33:$O$42,Lister!$D$30,$A$33:$A$42,Takstblad!$A$34)-SUMIFS(C$33:C$42,$O$33:$O$42,Lister!$D$30,$A$33:$A$42,Takstblad!$A$36)-SUMIFS(C$33:C$42,$O$33:$O$42,Lister!$D$30,$A$33:$A$42,Takstblad!$A$41)-SUMIFS(C$33:C$42,$O$33:$O$42,Lister!$D$30,$A$33:$A$42,Takstblad!$A$42))*0.3),0)</f>
        <v>0</v>
      </c>
      <c r="D45" s="169">
        <f>IF($C$2="FOOD",((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$33:$O$42,Lister!$D$29,D$33:D$42)-SUMIFS(D$33:D$42,$O$33:$O$42,Lister!$D$29,$A$33:$A$42,Takstblad!$A$34)-SUMIFS(D$33:D$42,$O$33:$O$42,Lister!$D$29,$A$33:$A$42,Takstblad!$A$36)-SUMIFS(D$33:D$42,$O$33:$O$42,Lister!$D$29,$A$33:$A$42,Takstblad!$A$41)-SUMIFS(D$33:D$42,$O$33:$O$42,Lister!$D$29,$A$33:$A$42,Takstblad!$A$42)+SUMIF($O$33:$O$42,Lister!$D$30,D$33:D$42)-SUMIFS(D$33:D$42,$O$33:$O$42,Lister!$D$30,$A$33:$A$42,Takstblad!$A$34)-SUMIFS(D$33:D$42,$O$33:$O$42,Lister!$D$30,$A$33:$A$42,Takstblad!$A$36)-SUMIFS(D$33:D$42,$O$33:$O$42,Lister!$D$30,$A$33:$A$42,Takstblad!$A$41)-SUMIFS(D$33:D$42,$O$33:$O$42,Lister!$D$30,$A$33:$A$42,Takstblad!$A$42))*0.3),0)</f>
        <v>0</v>
      </c>
      <c r="E45" s="169">
        <f>IF($C$2="FOOD",((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$33:$O$42,Lister!$D$29,E$33:E$42)-SUMIFS(E$33:E$42,$O$33:$O$42,Lister!$D$29,$A$33:$A$42,Takstblad!$A$34)-SUMIFS(E$33:E$42,$O$33:$O$42,Lister!$D$29,$A$33:$A$42,Takstblad!$A$36)-SUMIFS(E$33:E$42,$O$33:$O$42,Lister!$D$29,$A$33:$A$42,Takstblad!$A$41)-SUMIFS(E$33:E$42,$O$33:$O$42,Lister!$D$29,$A$33:$A$42,Takstblad!$A$42)+SUMIF($O$33:$O$42,Lister!$D$30,E$33:E$42)-SUMIFS(E$33:E$42,$O$33:$O$42,Lister!$D$30,$A$33:$A$42,Takstblad!$A$34)-SUMIFS(E$33:E$42,$O$33:$O$42,Lister!$D$30,$A$33:$A$42,Takstblad!$A$36)-SUMIFS(E$33:E$42,$O$33:$O$42,Lister!$D$30,$A$33:$A$42,Takstblad!$A$41)-SUMIFS(E$33:E$42,$O$33:$O$42,Lister!$D$30,$A$33:$A$42,Takstblad!$A$42))*0.3),0)</f>
        <v>0</v>
      </c>
      <c r="F45" s="169">
        <f>IF($C$2="FOOD",((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$33:$O$42,Lister!$D$29,F$33:F$42)-SUMIFS(F$33:F$42,$O$33:$O$42,Lister!$D$29,$A$33:$A$42,Takstblad!$A$34)-SUMIFS(F$33:F$42,$O$33:$O$42,Lister!$D$29,$A$33:$A$42,Takstblad!$A$36)-SUMIFS(F$33:F$42,$O$33:$O$42,Lister!$D$29,$A$33:$A$42,Takstblad!$A$41)-SUMIFS(F$33:F$42,$O$33:$O$42,Lister!$D$29,$A$33:$A$42,Takstblad!$A$42)+SUMIF($O$33:$O$42,Lister!$D$30,F$33:F$42)-SUMIFS(F$33:F$42,$O$33:$O$42,Lister!$D$30,$A$33:$A$42,Takstblad!$A$34)-SUMIFS(F$33:F$42,$O$33:$O$42,Lister!$D$30,$A$33:$A$42,Takstblad!$A$36)-SUMIFS(F$33:F$42,$O$33:$O$42,Lister!$D$30,$A$33:$A$42,Takstblad!$A$41)-SUMIFS(F$33:F$42,$O$33:$O$42,Lister!$D$30,$A$33:$A$42,Takstblad!$A$42))*0.3),0)</f>
        <v>0</v>
      </c>
      <c r="G45" s="169">
        <f>IF($C$2="FOOD",((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$33:$O$42,Lister!$D$29,G$33:G$42)-SUMIFS(G$33:G$42,$O$33:$O$42,Lister!$D$29,$A$33:$A$42,Takstblad!$A$34)-SUMIFS(G$33:G$42,$O$33:$O$42,Lister!$D$29,$A$33:$A$42,Takstblad!$A$36)-SUMIFS(G$33:G$42,$O$33:$O$42,Lister!$D$29,$A$33:$A$42,Takstblad!$A$41)-SUMIFS(G$33:G$42,$O$33:$O$42,Lister!$D$29,$A$33:$A$42,Takstblad!$A$42)+SUMIF($O$33:$O$42,Lister!$D$30,G$33:G$42)-SUMIFS(G$33:G$42,$O$33:$O$42,Lister!$D$30,$A$33:$A$42,Takstblad!$A$34)-SUMIFS(G$33:G$42,$O$33:$O$42,Lister!$D$30,$A$33:$A$42,Takstblad!$A$36)-SUMIFS(G$33:G$42,$O$33:$O$42,Lister!$D$30,$A$33:$A$42,Takstblad!$A$41)-SUMIFS(G$33:G$42,$O$33:$O$42,Lister!$D$30,$A$33:$A$42,Takstblad!$A$42))*0.3),0)</f>
        <v>0</v>
      </c>
      <c r="H45" s="169">
        <f>IF($C$2="FOOD",((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$33:$O$42,Lister!$D$29,H$33:H$42)-SUMIFS(H$33:H$42,$O$33:$O$42,Lister!$D$29,$A$33:$A$42,Takstblad!$A$34)-SUMIFS(H$33:H$42,$O$33:$O$42,Lister!$D$29,$A$33:$A$42,Takstblad!$A$36)-SUMIFS(H$33:H$42,$O$33:$O$42,Lister!$D$29,$A$33:$A$42,Takstblad!$A$41)-SUMIFS(H$33:H$42,$O$33:$O$42,Lister!$D$29,$A$33:$A$42,Takstblad!$A$42)+SUMIF($O$33:$O$42,Lister!$D$30,H$33:H$42)-SUMIFS(H$33:H$42,$O$33:$O$42,Lister!$D$30,$A$33:$A$42,Takstblad!$A$34)-SUMIFS(H$33:H$42,$O$33:$O$42,Lister!$D$30,$A$33:$A$42,Takstblad!$A$36)-SUMIFS(H$33:H$42,$O$33:$O$42,Lister!$D$30,$A$33:$A$42,Takstblad!$A$41)-SUMIFS(H$33:H$42,$O$33:$O$42,Lister!$D$30,$A$33:$A$42,Takstblad!$A$42))*0.3),0)</f>
        <v>0</v>
      </c>
      <c r="I45" s="170">
        <f>IF($C$2="FOOD",((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$33:$O$42,Lister!$D$29,I$33:I$42)-SUMIFS(I$33:I$42,$O$33:$O$42,Lister!$D$29,$A$33:$A$42,Takstblad!$A$34)-SUMIFS(I$33:I$42,$O$33:$O$42,Lister!$D$29,$A$33:$A$42,Takstblad!$A$36)-SUMIFS(I$33:I$42,$O$33:$O$42,Lister!$D$29,$A$33:$A$42,Takstblad!$A$41)-SUMIFS(I$33:I$42,$O$33:$O$42,Lister!$D$29,$A$33:$A$42,Takstblad!$A$42)+SUMIF($O$33:$O$42,Lister!$D$30,I$33:I$42)-SUMIFS(I$33:I$42,$O$33:$O$42,Lister!$D$30,$A$33:$A$42,Takstblad!$A$34)-SUMIFS(I$33:I$42,$O$33:$O$42,Lister!$D$30,$A$33:$A$42,Takstblad!$A$36)-SUMIFS(I$33:I$42,$O$33:$O$42,Lister!$D$30,$A$33:$A$42,Takstblad!$A$41)-SUMIFS(I$33:I$42,$O$33:$O$42,Lister!$D$30,$A$33:$A$42,Takstblad!$A$42))*0.3),0)</f>
        <v>0</v>
      </c>
      <c r="J45" s="170">
        <f>IF($C$2="FOOD",((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$33:$O$42,Lister!$D$29,J$33:J$42)-SUMIFS(J$33:J$42,$O$33:$O$42,Lister!$D$29,$A$33:$A$42,Takstblad!$A$34)-SUMIFS(J$33:J$42,$O$33:$O$42,Lister!$D$29,$A$33:$A$42,Takstblad!$A$36)-SUMIFS(J$33:J$42,$O$33:$O$42,Lister!$D$29,$A$33:$A$42,Takstblad!$A$41)-SUMIFS(J$33:J$42,$O$33:$O$42,Lister!$D$29,$A$33:$A$42,Takstblad!$A$42)+SUMIF($O$33:$O$42,Lister!$D$30,J$33:J$42)-SUMIFS(J$33:J$42,$O$33:$O$42,Lister!$D$30,$A$33:$A$42,Takstblad!$A$34)-SUMIFS(J$33:J$42,$O$33:$O$42,Lister!$D$30,$A$33:$A$42,Takstblad!$A$36)-SUMIFS(J$33:J$42,$O$33:$O$42,Lister!$D$30,$A$33:$A$42,Takstblad!$A$41)-SUMIFS(J$33:J$42,$O$33:$O$42,Lister!$D$30,$A$33:$A$42,Takstblad!$A$42))*0.3),0)</f>
        <v>0</v>
      </c>
      <c r="K45" s="170">
        <f>IF($C$2="FOOD",((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$33:$O$42,Lister!$D$29,K$33:K$42)-SUMIFS(K$33:K$42,$O$33:$O$42,Lister!$D$29,$A$33:$A$42,Takstblad!$A$34)-SUMIFS(K$33:K$42,$O$33:$O$42,Lister!$D$29,$A$33:$A$42,Takstblad!$A$36)-SUMIFS(K$33:K$42,$O$33:$O$42,Lister!$D$29,$A$33:$A$42,Takstblad!$A$41)-SUMIFS(K$33:K$42,$O$33:$O$42,Lister!$D$29,$A$33:$A$42,Takstblad!$A$42)+SUMIF($O$33:$O$42,Lister!$D$30,K$33:K$42)-SUMIFS(K$33:K$42,$O$33:$O$42,Lister!$D$30,$A$33:$A$42,Takstblad!$A$34)-SUMIFS(K$33:K$42,$O$33:$O$42,Lister!$D$30,$A$33:$A$42,Takstblad!$A$36)-SUMIFS(K$33:K$42,$O$33:$O$42,Lister!$D$30,$A$33:$A$42,Takstblad!$A$41)-SUMIFS(K$33:K$42,$O$33:$O$42,Lister!$D$30,$A$33:$A$42,Takstblad!$A$42))*0.3),0)</f>
        <v>0</v>
      </c>
      <c r="L45" s="170">
        <f>IF($C$2="FOOD",((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$33:$O$42,Lister!$D$29,L$33:L$42)-SUMIFS(L$33:L$42,$O$33:$O$42,Lister!$D$29,$A$33:$A$42,Takstblad!$A$34)-SUMIFS(L$33:L$42,$O$33:$O$42,Lister!$D$29,$A$33:$A$42,Takstblad!$A$36)-SUMIFS(L$33:L$42,$O$33:$O$42,Lister!$D$29,$A$33:$A$42,Takstblad!$A$41)-SUMIFS(L$33:L$42,$O$33:$O$42,Lister!$D$29,$A$33:$A$42,Takstblad!$A$42)+SUMIF($O$33:$O$42,Lister!$D$30,L$33:L$42)-SUMIFS(L$33:L$42,$O$33:$O$42,Lister!$D$30,$A$33:$A$42,Takstblad!$A$34)-SUMIFS(L$33:L$42,$O$33:$O$42,Lister!$D$30,$A$33:$A$42,Takstblad!$A$36)-SUMIFS(L$33:L$42,$O$33:$O$42,Lister!$D$30,$A$33:$A$42,Takstblad!$A$41)-SUMIFS(L$33:L$42,$O$33:$O$42,Lister!$D$30,$A$33:$A$42,Takstblad!$A$42))*0.3),0)</f>
        <v>0</v>
      </c>
      <c r="M45" s="65">
        <f t="shared" si="54"/>
        <v>0</v>
      </c>
      <c r="N45" s="171"/>
      <c r="O45" s="168" t="s">
        <v>152</v>
      </c>
      <c r="P45" s="11"/>
      <c r="Q45" s="27"/>
      <c r="R45" s="213">
        <f t="shared" si="39"/>
        <v>0</v>
      </c>
      <c r="S45" s="25">
        <f>+C45*Takstblad!C38</f>
        <v>0</v>
      </c>
      <c r="T45" s="25">
        <f>+D45*Takstblad!D38</f>
        <v>0</v>
      </c>
      <c r="U45" s="25">
        <f>+E45*Takstblad!E38</f>
        <v>0</v>
      </c>
      <c r="V45" s="25">
        <f>+F45*Takstblad!F38</f>
        <v>0</v>
      </c>
      <c r="W45" s="25">
        <f>+G45*Takstblad!G38</f>
        <v>0</v>
      </c>
      <c r="X45" s="25">
        <f>+H45*Takstblad!H38</f>
        <v>0</v>
      </c>
      <c r="Y45" s="25">
        <f>+I45*Takstblad!I38</f>
        <v>0</v>
      </c>
      <c r="Z45" s="25">
        <f>+J45*Takstblad!J38</f>
        <v>0</v>
      </c>
      <c r="AA45" s="25">
        <f>+K45*Takstblad!K38</f>
        <v>0</v>
      </c>
      <c r="AB45" s="25">
        <f>+L45*Takstblad!L38</f>
        <v>0</v>
      </c>
      <c r="AC45" s="25">
        <f t="shared" si="55"/>
        <v>0</v>
      </c>
      <c r="AE45" s="25">
        <f t="shared" si="64"/>
        <v>0</v>
      </c>
      <c r="AF45" s="25">
        <f t="shared" si="65"/>
        <v>0</v>
      </c>
      <c r="AH45" s="25">
        <f t="shared" si="66"/>
        <v>0</v>
      </c>
      <c r="AI45" s="25">
        <f t="shared" si="67"/>
        <v>0</v>
      </c>
      <c r="AK45" s="25">
        <f t="shared" si="68"/>
        <v>0</v>
      </c>
      <c r="AL45" s="25">
        <f t="shared" si="69"/>
        <v>0</v>
      </c>
      <c r="AN45" s="25">
        <f t="shared" si="70"/>
        <v>0</v>
      </c>
      <c r="AO45" s="25">
        <f t="shared" si="71"/>
        <v>0</v>
      </c>
      <c r="AQ45" s="25">
        <f t="shared" si="72"/>
        <v>0</v>
      </c>
      <c r="AR45" s="25">
        <f t="shared" si="73"/>
        <v>0</v>
      </c>
      <c r="AT45" s="25">
        <f t="shared" si="74"/>
        <v>0</v>
      </c>
      <c r="AU45" s="25">
        <f t="shared" si="75"/>
        <v>0</v>
      </c>
      <c r="AW45" s="25">
        <f t="shared" si="76"/>
        <v>0</v>
      </c>
      <c r="AX45" s="25">
        <f t="shared" si="77"/>
        <v>0</v>
      </c>
      <c r="AZ45" s="25">
        <f t="shared" si="78"/>
        <v>0</v>
      </c>
      <c r="BA45" s="25">
        <f t="shared" si="79"/>
        <v>0</v>
      </c>
      <c r="BC45" s="25">
        <f t="shared" si="80"/>
        <v>0</v>
      </c>
      <c r="BD45" s="25">
        <f t="shared" si="81"/>
        <v>0</v>
      </c>
      <c r="BF45" s="25">
        <f t="shared" si="60"/>
        <v>0</v>
      </c>
      <c r="BG45" s="25">
        <f t="shared" si="61"/>
        <v>0</v>
      </c>
      <c r="BI45" s="25">
        <f t="shared" si="62"/>
        <v>0</v>
      </c>
      <c r="BJ45" s="25">
        <f t="shared" si="63"/>
        <v>0</v>
      </c>
    </row>
    <row r="46" spans="1:66" ht="14.25" customHeight="1" thickBot="1" x14ac:dyDescent="0.25">
      <c r="A46" s="4" t="s">
        <v>71</v>
      </c>
      <c r="B46" s="4"/>
      <c r="C46" s="12">
        <f t="shared" ref="C46:J46" si="82">SUM(C33:C45)</f>
        <v>0</v>
      </c>
      <c r="D46" s="12">
        <f t="shared" si="82"/>
        <v>0</v>
      </c>
      <c r="E46" s="12">
        <f t="shared" si="82"/>
        <v>0</v>
      </c>
      <c r="F46" s="12">
        <f t="shared" si="82"/>
        <v>0</v>
      </c>
      <c r="G46" s="12">
        <f t="shared" si="82"/>
        <v>0</v>
      </c>
      <c r="H46" s="12">
        <f t="shared" si="82"/>
        <v>0</v>
      </c>
      <c r="I46" s="12">
        <f t="shared" si="82"/>
        <v>0</v>
      </c>
      <c r="J46" s="12">
        <f t="shared" si="82"/>
        <v>0</v>
      </c>
      <c r="K46" s="12">
        <f t="shared" ref="K46" si="83">SUM(K33:K45)</f>
        <v>0</v>
      </c>
      <c r="L46" s="12">
        <f>SUM(L33:L45)</f>
        <v>0</v>
      </c>
      <c r="M46" s="12">
        <f t="shared" si="54"/>
        <v>0</v>
      </c>
      <c r="N46" s="12"/>
      <c r="O46" s="48"/>
      <c r="P46" s="48"/>
      <c r="Q46" s="23" t="s">
        <v>75</v>
      </c>
      <c r="R46" s="46">
        <f t="shared" si="39"/>
        <v>0</v>
      </c>
      <c r="S46" s="22">
        <f t="shared" ref="S46:Z46" si="84">SUM(S33:S45)</f>
        <v>0</v>
      </c>
      <c r="T46" s="22">
        <f t="shared" si="84"/>
        <v>0</v>
      </c>
      <c r="U46" s="22">
        <f t="shared" si="84"/>
        <v>0</v>
      </c>
      <c r="V46" s="22">
        <f t="shared" si="84"/>
        <v>0</v>
      </c>
      <c r="W46" s="22">
        <f t="shared" si="84"/>
        <v>0</v>
      </c>
      <c r="X46" s="22">
        <f t="shared" si="84"/>
        <v>0</v>
      </c>
      <c r="Y46" s="51">
        <f t="shared" si="84"/>
        <v>0</v>
      </c>
      <c r="Z46" s="51">
        <f t="shared" si="84"/>
        <v>0</v>
      </c>
      <c r="AA46" s="51">
        <f t="shared" ref="AA46:AB46" si="85">SUM(AA33:AA45)</f>
        <v>0</v>
      </c>
      <c r="AB46" s="51">
        <f t="shared" si="85"/>
        <v>0</v>
      </c>
      <c r="AC46" s="46">
        <f t="shared" si="55"/>
        <v>0</v>
      </c>
      <c r="AE46" s="22">
        <f>SUM(AE33:AE45)</f>
        <v>0</v>
      </c>
      <c r="AF46" s="13">
        <f>IFERROR(AC46/AE46,0)</f>
        <v>0</v>
      </c>
      <c r="AH46" s="22">
        <f>SUM(AH33:AH45)</f>
        <v>0</v>
      </c>
      <c r="AI46" s="13">
        <f t="shared" si="43"/>
        <v>0</v>
      </c>
      <c r="AK46" s="22">
        <f>SUM(AK33:AK45)</f>
        <v>0</v>
      </c>
      <c r="AL46" s="13">
        <f t="shared" si="45"/>
        <v>0</v>
      </c>
      <c r="AN46" s="22">
        <f>SUM(AN33:AN45)</f>
        <v>0</v>
      </c>
      <c r="AO46" s="13">
        <f t="shared" si="47"/>
        <v>0</v>
      </c>
      <c r="AQ46" s="22">
        <f>SUM(AQ33:AQ45)</f>
        <v>0</v>
      </c>
      <c r="AR46" s="13">
        <f t="shared" si="49"/>
        <v>0</v>
      </c>
      <c r="AT46" s="22">
        <f>SUM(AT33:AT45)</f>
        <v>0</v>
      </c>
      <c r="AU46" s="13">
        <f t="shared" si="51"/>
        <v>0</v>
      </c>
      <c r="AW46" s="22">
        <f>SUM(AW33:AW45)</f>
        <v>0</v>
      </c>
      <c r="AX46" s="13">
        <f t="shared" si="53"/>
        <v>0</v>
      </c>
      <c r="AZ46" s="22">
        <f>SUM(AZ33:AZ45)</f>
        <v>0</v>
      </c>
      <c r="BA46" s="13">
        <f t="shared" si="57"/>
        <v>0</v>
      </c>
      <c r="BC46" s="22">
        <f>SUM(BC33:BC45)</f>
        <v>0</v>
      </c>
      <c r="BD46" s="13">
        <f t="shared" si="59"/>
        <v>0</v>
      </c>
      <c r="BF46" s="22">
        <f>SUM(BF33:BF45)</f>
        <v>0</v>
      </c>
      <c r="BG46" s="13">
        <f t="shared" ref="BG46" si="86">IFERROR(AC46/BF46,0)</f>
        <v>0</v>
      </c>
      <c r="BI46" s="22">
        <f>SUM(BI33:BI45)</f>
        <v>0</v>
      </c>
      <c r="BJ46" s="13">
        <f t="shared" ref="BJ46" si="87">IFERROR(AF46/BI46,0)</f>
        <v>0</v>
      </c>
      <c r="BK46" s="70"/>
      <c r="BL46" s="70"/>
      <c r="BM46" s="70"/>
    </row>
    <row r="47" spans="1:66" ht="14.25" customHeight="1" x14ac:dyDescent="0.2">
      <c r="A47" s="9"/>
      <c r="B47" s="48"/>
      <c r="C47" s="48"/>
      <c r="D47" s="48"/>
      <c r="E47" s="48"/>
      <c r="F47" s="48"/>
      <c r="G47" s="48"/>
      <c r="H47" s="48"/>
      <c r="I47" s="48"/>
      <c r="J47" s="48"/>
      <c r="K47" s="48"/>
      <c r="L47" s="48"/>
      <c r="M47" s="48"/>
      <c r="N47" s="48"/>
      <c r="O47" s="48"/>
      <c r="P47" s="48"/>
      <c r="Q47" s="23"/>
      <c r="R47" s="5"/>
      <c r="S47" s="4"/>
      <c r="T47" s="4"/>
      <c r="U47" s="4"/>
      <c r="V47" s="4"/>
      <c r="W47" s="4"/>
      <c r="X47" s="4"/>
      <c r="Y47" s="4"/>
      <c r="Z47" s="4"/>
      <c r="AA47" s="4"/>
      <c r="AB47" s="4"/>
      <c r="AC47" s="5"/>
      <c r="AD47" s="70"/>
      <c r="AE47" s="76"/>
      <c r="AF47" s="76"/>
      <c r="AG47" s="70"/>
      <c r="AH47" s="77"/>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row>
    <row r="48" spans="1:66" ht="14.25" hidden="1" customHeight="1" x14ac:dyDescent="0.2">
      <c r="A48" s="9" t="s">
        <v>185</v>
      </c>
      <c r="B48" s="48"/>
      <c r="C48" s="109">
        <f>+SUMIF($O$20:$O$29,Lister!$D$30,C20:C29)-SUMIFS(C20:C29,$O$20:$O$29,Lister!$D$30,$B$20:$B$29,Lister!$B$20)-+SUMIFS(C33:C42,$O$33:$O$42,Lister!$D$30,$B$33:$B$42,Lister!$A$24)+SUMIF($O$20:$O$29,Lister!$D$29,C20:C29)-SUMIFS(C20:C29,$O$20:$O$29,Lister!$D$29,$B$20:$B$29,Lister!$B$20)+SUMIFS(C33:C42,$O$33:$O$42,Lister!$D$29,$B$33:$B$42,Lister!$A$24)</f>
        <v>0</v>
      </c>
      <c r="D48" s="109">
        <f>+SUMIF($O$20:$O$29,Lister!$D$30,D20:D29)-SUMIFS(D20:D29,$O$20:$O$29,Lister!$D$30,$B$20:$B$29,Lister!$B$20)-+SUMIFS(D33:D42,$O$33:$O$42,Lister!$D$30,$B$33:$B$42,Lister!$A$24)+SUMIF($O$20:$O$29,Lister!$D$29,D20:D29)-SUMIFS(D20:D29,$O$20:$O$29,Lister!$D$29,$B$20:$B$29,Lister!$B$20)+SUMIFS(D33:D42,$O$33:$O$42,Lister!$D$29,$B$33:$B$42,Lister!$A$24)</f>
        <v>0</v>
      </c>
      <c r="E48" s="109">
        <f>+SUMIF($O$20:$O$29,Lister!$D$30,E20:E29)-SUMIFS(E20:E29,$O$20:$O$29,Lister!$D$30,$B$20:$B$29,Lister!$B$20)-+SUMIFS(E33:E42,$O$33:$O$42,Lister!$D$30,$B$33:$B$42,Lister!$A$24)+SUMIF($O$20:$O$29,Lister!$D$29,E20:E29)-SUMIFS(E20:E29,$O$20:$O$29,Lister!$D$29,$B$20:$B$29,Lister!$B$20)+SUMIFS(E33:E42,$O$33:$O$42,Lister!$D$29,$B$33:$B$42,Lister!$A$24)</f>
        <v>0</v>
      </c>
      <c r="F48" s="109">
        <f>+SUMIF($O$20:$O$29,Lister!$D$30,F20:F29)-SUMIFS(F20:F29,$O$20:$O$29,Lister!$D$30,$B$20:$B$29,Lister!$B$20)-+SUMIFS(F33:F42,$O$33:$O$42,Lister!$D$30,$B$33:$B$42,Lister!$A$24)+SUMIF($O$20:$O$29,Lister!$D$29,F20:F29)-SUMIFS(F20:F29,$O$20:$O$29,Lister!$D$29,$B$20:$B$29,Lister!$B$20)+SUMIFS(F33:F42,$O$33:$O$42,Lister!$D$29,$B$33:$B$42,Lister!$A$24)</f>
        <v>0</v>
      </c>
      <c r="G48" s="109">
        <f>+SUMIF($O$20:$O$29,Lister!$D$30,G20:G29)-SUMIFS(G20:G29,$O$20:$O$29,Lister!$D$30,$B$20:$B$29,Lister!$B$20)-+SUMIFS(G33:G42,$O$33:$O$42,Lister!$D$30,$B$33:$B$42,Lister!$A$24)+SUMIF($O$20:$O$29,Lister!$D$29,G20:G29)-SUMIFS(G20:G29,$O$20:$O$29,Lister!$D$29,$B$20:$B$29,Lister!$B$20)+SUMIFS(G33:G42,$O$33:$O$42,Lister!$D$29,$B$33:$B$42,Lister!$A$24)</f>
        <v>0</v>
      </c>
      <c r="H48" s="109">
        <f>+SUMIF($O$20:$O$29,Lister!$D$30,H20:H29)-SUMIFS(H20:H29,$O$20:$O$29,Lister!$D$30,$B$20:$B$29,Lister!$B$20)-+SUMIFS(H33:H42,$O$33:$O$42,Lister!$D$30,$B$33:$B$42,Lister!$A$24)+SUMIF($O$20:$O$29,Lister!$D$29,H20:H29)-SUMIFS(H20:H29,$O$20:$O$29,Lister!$D$29,$B$20:$B$29,Lister!$B$20)+SUMIFS(H33:H42,$O$33:$O$42,Lister!$D$29,$B$33:$B$42,Lister!$A$24)</f>
        <v>0</v>
      </c>
      <c r="I48" s="109">
        <f>+SUMIF($O$20:$O$29,Lister!$D$30,I20:I29)-SUMIFS(I20:I29,$O$20:$O$29,Lister!$D$30,$B$20:$B$29,Lister!$B$20)-+SUMIFS(I33:I42,$O$33:$O$42,Lister!$D$30,$B$33:$B$42,Lister!$A$24)+SUMIF($O$20:$O$29,Lister!$D$29,I20:I29)-SUMIFS(I20:I29,$O$20:$O$29,Lister!$D$29,$B$20:$B$29,Lister!$B$20)+SUMIFS(I33:I42,$O$33:$O$42,Lister!$D$29,$B$33:$B$42,Lister!$A$24)</f>
        <v>0</v>
      </c>
      <c r="J48" s="109">
        <f>+SUMIF($O$20:$O$29,Lister!$D$30,J20:J29)-SUMIFS(J20:J29,$O$20:$O$29,Lister!$D$30,$B$20:$B$29,Lister!$B$20)-+SUMIFS(J33:J42,$O$33:$O$42,Lister!$D$30,$B$33:$B$42,Lister!$A$24)+SUMIF($O$20:$O$29,Lister!$D$29,J20:J29)-SUMIFS(J20:J29,$O$20:$O$29,Lister!$D$29,$B$20:$B$29,Lister!$B$20)+SUMIFS(J33:J42,$O$33:$O$42,Lister!$D$29,$B$33:$B$42,Lister!$A$24)</f>
        <v>0</v>
      </c>
      <c r="K48" s="109">
        <f>+SUMIF($O$20:$O$29,Lister!$D$30,K20:K29)-SUMIFS(K20:K29,$O$20:$O$29,Lister!$D$30,$B$20:$B$29,Lister!$B$20)-+SUMIFS(K33:K42,$O$33:$O$42,Lister!$D$30,$B$33:$B$42,Lister!$A$24)+SUMIF($O$20:$O$29,Lister!$D$29,K20:K29)-SUMIFS(K20:K29,$O$20:$O$29,Lister!$D$29,$B$20:$B$29,Lister!$B$20)+SUMIFS(K33:K42,$O$33:$O$42,Lister!$D$29,$B$33:$B$42,Lister!$A$24)</f>
        <v>0</v>
      </c>
      <c r="L48" s="109">
        <f>+SUMIF($O$20:$O$29,Lister!$D$30,L20:L29)-SUMIFS(L20:L29,$O$20:$O$29,Lister!$D$30,$B$20:$B$29,Lister!$B$20)-+SUMIFS(L33:L42,$O$33:$O$42,Lister!$D$30,$B$33:$B$42,Lister!$A$24)+SUMIF($O$20:$O$29,Lister!$D$29,L20:L29)-SUMIFS(L20:L29,$O$20:$O$29,Lister!$D$29,$B$20:$B$29,Lister!$B$20)+SUMIFS(L33:L42,$O$33:$O$42,Lister!$D$29,$B$33:$B$42,Lister!$A$24)</f>
        <v>0</v>
      </c>
      <c r="M48" s="48"/>
      <c r="N48" s="48"/>
      <c r="O48" s="48"/>
      <c r="P48" s="48"/>
      <c r="Q48" s="23"/>
      <c r="R48" s="5"/>
      <c r="S48" s="4"/>
      <c r="T48" s="4"/>
      <c r="U48" s="4"/>
      <c r="V48" s="4"/>
      <c r="W48" s="4"/>
      <c r="X48" s="4"/>
      <c r="Y48" s="4"/>
      <c r="Z48" s="4"/>
      <c r="AA48" s="4"/>
      <c r="AB48" s="4"/>
      <c r="AC48" s="5"/>
      <c r="AD48" s="70"/>
      <c r="AE48" s="76"/>
      <c r="AF48" s="76"/>
      <c r="AG48" s="70"/>
      <c r="AH48" s="77"/>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row>
    <row r="49" spans="1:65" ht="14.25" hidden="1" customHeight="1" x14ac:dyDescent="0.2">
      <c r="A49" s="9" t="s">
        <v>186</v>
      </c>
      <c r="B49" s="48"/>
      <c r="C49" s="109">
        <f>+SUMIF($O$20:$O$29,Lister!$D$31,C20:C29)-SUMIFS(C20:C29,$O$20:$O$29,Lister!$D$31,$B$20:$B$29,Lister!$B$20)+SUMIFS(C33:C42,$O$33:$O$42,Lister!$D$31,$B$33:$B$42,Lister!$A$24)</f>
        <v>0</v>
      </c>
      <c r="D49" s="109">
        <f>+SUMIF($O$20:$O$29,Lister!$D$31,D20:D29)-SUMIFS(D20:D29,$O$20:$O$29,Lister!$D$31,$B$20:$B$29,Lister!$B$20)+SUMIFS(D33:D42,$O$33:$O$42,Lister!$D$31,$B$33:$B$42,Lister!$A$24)</f>
        <v>0</v>
      </c>
      <c r="E49" s="109">
        <f>+SUMIF($O$20:$O$29,Lister!$D$31,E20:E29)-SUMIFS(E20:E29,$O$20:$O$29,Lister!$D$31,$B$20:$B$29,Lister!$B$20)+SUMIFS(E33:E42,$O$33:$O$42,Lister!$D$31,$B$33:$B$42,Lister!$A$24)</f>
        <v>0</v>
      </c>
      <c r="F49" s="109">
        <f>+SUMIF($O$20:$O$29,Lister!$D$31,F20:F29)-SUMIFS(F20:F29,$O$20:$O$29,Lister!$D$31,$B$20:$B$29,Lister!$B$20)+SUMIFS(F33:F42,$O$33:$O$42,Lister!$D$31,$B$33:$B$42,Lister!$A$24)</f>
        <v>0</v>
      </c>
      <c r="G49" s="109">
        <f>+SUMIF($O$20:$O$29,Lister!$D$31,G20:G29)-SUMIFS(G20:G29,$O$20:$O$29,Lister!$D$31,$B$20:$B$29,Lister!$B$20)+SUMIFS(G33:G42,$O$33:$O$42,Lister!$D$31,$B$33:$B$42,Lister!$A$24)</f>
        <v>0</v>
      </c>
      <c r="H49" s="109">
        <f>+SUMIF($O$20:$O$29,Lister!$D$31,H20:H29)-SUMIFS(H20:H29,$O$20:$O$29,Lister!$D$31,$B$20:$B$29,Lister!$B$20)+SUMIFS(H33:H42,$O$33:$O$42,Lister!$D$31,$B$33:$B$42,Lister!$A$24)</f>
        <v>0</v>
      </c>
      <c r="I49" s="109">
        <f>+SUMIF($O$20:$O$29,Lister!$D$31,I20:I29)-SUMIFS(I20:I29,$O$20:$O$29,Lister!$D$31,$B$20:$B$29,Lister!$B$20)+SUMIFS(I33:I42,$O$33:$O$42,Lister!$D$31,$B$33:$B$42,Lister!$A$24)</f>
        <v>0</v>
      </c>
      <c r="J49" s="109">
        <f>+SUMIF($O$20:$O$29,Lister!$D$31,J20:J29)-SUMIFS(J20:J29,$O$20:$O$29,Lister!$D$31,$B$20:$B$29,Lister!$B$20)+SUMIFS(J33:J42,$O$33:$O$42,Lister!$D$31,$B$33:$B$42,Lister!$A$24)</f>
        <v>0</v>
      </c>
      <c r="K49" s="109">
        <f>+SUMIF($O$20:$O$29,Lister!$D$31,K20:K29)-SUMIFS(K20:K29,$O$20:$O$29,Lister!$D$31,$B$20:$B$29,Lister!$B$20)+SUMIFS(K33:K42,$O$33:$O$42,Lister!$D$31,$B$33:$B$42,Lister!$A$24)</f>
        <v>0</v>
      </c>
      <c r="L49" s="109">
        <f>+SUMIF($O$20:$O$29,Lister!$D$31,L20:L29)-SUMIFS(L20:L29,$O$20:$O$29,Lister!$D$31,$B$20:$B$29,Lister!$B$20)+SUMIFS(L33:L42,$O$33:$O$42,Lister!$D$31,$B$33:$B$42,Lister!$A$24)</f>
        <v>0</v>
      </c>
      <c r="M49" s="48"/>
      <c r="N49" s="48"/>
      <c r="O49" s="48"/>
      <c r="P49" s="48"/>
      <c r="Q49" s="23"/>
      <c r="R49" s="5"/>
      <c r="S49" s="4"/>
      <c r="T49" s="4"/>
      <c r="U49" s="4"/>
      <c r="V49" s="4"/>
      <c r="W49" s="4"/>
      <c r="X49" s="4"/>
      <c r="Y49" s="4"/>
      <c r="Z49" s="4"/>
      <c r="AA49" s="4"/>
      <c r="AB49" s="4"/>
      <c r="AC49" s="5"/>
      <c r="AD49" s="70"/>
      <c r="AE49" s="76"/>
      <c r="AF49" s="76"/>
      <c r="AG49" s="70"/>
      <c r="AH49" s="77"/>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row>
    <row r="50" spans="1:65" ht="14.25" customHeight="1" x14ac:dyDescent="0.2">
      <c r="A50" s="9"/>
      <c r="B50" s="48"/>
      <c r="C50" s="48"/>
      <c r="D50" s="48"/>
      <c r="E50" s="48"/>
      <c r="F50" s="48"/>
      <c r="G50" s="48"/>
      <c r="H50" s="48"/>
      <c r="I50" s="48"/>
      <c r="J50" s="48"/>
      <c r="K50" s="48"/>
      <c r="L50" s="48"/>
      <c r="M50" s="48"/>
      <c r="N50" s="48"/>
      <c r="O50" s="48"/>
      <c r="P50" s="48"/>
      <c r="Q50" s="70"/>
      <c r="R50" s="70"/>
      <c r="S50" s="77"/>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65" ht="14.25" customHeight="1" thickBot="1" x14ac:dyDescent="0.25">
      <c r="A51" s="4" t="s">
        <v>91</v>
      </c>
      <c r="B51" s="8"/>
      <c r="C51" s="8">
        <f t="shared" ref="C51:L51" si="88">+C19</f>
        <v>2025</v>
      </c>
      <c r="D51" s="8">
        <f t="shared" si="88"/>
        <v>2026</v>
      </c>
      <c r="E51" s="8">
        <f t="shared" si="88"/>
        <v>2027</v>
      </c>
      <c r="F51" s="8">
        <f t="shared" si="88"/>
        <v>2028</v>
      </c>
      <c r="G51" s="8">
        <f t="shared" si="88"/>
        <v>2029</v>
      </c>
      <c r="H51" s="8">
        <f t="shared" si="88"/>
        <v>2030</v>
      </c>
      <c r="I51" s="8">
        <f t="shared" si="88"/>
        <v>2031</v>
      </c>
      <c r="J51" s="8">
        <f t="shared" si="88"/>
        <v>2032</v>
      </c>
      <c r="K51" s="8">
        <f t="shared" si="88"/>
        <v>2033</v>
      </c>
      <c r="L51" s="8">
        <f t="shared" si="88"/>
        <v>2034</v>
      </c>
      <c r="M51" s="8" t="s">
        <v>34</v>
      </c>
      <c r="N51" s="8"/>
      <c r="O51" s="8"/>
      <c r="P51" s="8"/>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65" s="9" customFormat="1" ht="14.25" customHeight="1" x14ac:dyDescent="0.25">
      <c r="A52" s="230" t="s">
        <v>114</v>
      </c>
      <c r="B52" s="231"/>
      <c r="C52" s="302"/>
      <c r="D52" s="302"/>
      <c r="E52" s="302"/>
      <c r="F52" s="302"/>
      <c r="G52" s="302"/>
      <c r="H52" s="302"/>
      <c r="I52" s="302"/>
      <c r="J52" s="302"/>
      <c r="K52" s="302"/>
      <c r="L52" s="302"/>
      <c r="M52" s="21">
        <f>SUM(C52:L52)</f>
        <v>0</v>
      </c>
      <c r="N52" s="299"/>
      <c r="O52" s="299" t="s">
        <v>113</v>
      </c>
      <c r="P52" s="7"/>
      <c r="Q52" s="129" t="s">
        <v>101</v>
      </c>
      <c r="R52" s="132"/>
      <c r="S52" s="130"/>
      <c r="T52" s="144"/>
      <c r="U52" s="144"/>
      <c r="V52" s="144"/>
      <c r="W52" s="144"/>
      <c r="X52" s="319"/>
      <c r="Y52" s="144"/>
      <c r="Z52" s="144"/>
      <c r="AA52" s="144"/>
      <c r="AB52" s="144"/>
      <c r="AC52" s="132"/>
      <c r="AF52" s="70"/>
      <c r="AG52" s="70"/>
      <c r="AH52" s="70"/>
      <c r="AI52" s="70"/>
      <c r="AJ52" s="70"/>
      <c r="AK52" s="70"/>
      <c r="AL52" s="70"/>
      <c r="AM52" s="70"/>
      <c r="AN52" s="70"/>
      <c r="AO52" s="70"/>
      <c r="AP52" s="70"/>
      <c r="AQ52" s="70"/>
      <c r="AR52" s="71"/>
      <c r="AS52" s="71"/>
      <c r="AT52" s="71"/>
      <c r="AU52" s="71"/>
      <c r="AV52" s="71"/>
      <c r="AW52" s="71"/>
      <c r="AX52" s="71"/>
      <c r="AY52" s="71"/>
      <c r="AZ52" s="71"/>
    </row>
    <row r="53" spans="1:65" ht="14.25" customHeight="1" x14ac:dyDescent="0.2">
      <c r="A53" s="210" t="s">
        <v>114</v>
      </c>
      <c r="B53" s="16"/>
      <c r="C53" s="302"/>
      <c r="D53" s="302"/>
      <c r="E53" s="302"/>
      <c r="F53" s="302"/>
      <c r="G53" s="302"/>
      <c r="H53" s="302"/>
      <c r="I53" s="302"/>
      <c r="J53" s="302"/>
      <c r="K53" s="302"/>
      <c r="L53" s="302"/>
      <c r="M53" s="21">
        <f t="shared" ref="M53:M65" si="89">SUM(C53:L53)</f>
        <v>0</v>
      </c>
      <c r="N53" s="299"/>
      <c r="O53" s="299" t="s">
        <v>113</v>
      </c>
      <c r="Q53" s="116" t="s">
        <v>22</v>
      </c>
      <c r="R53" s="133" t="s">
        <v>34</v>
      </c>
      <c r="S53" s="45">
        <f>+S19</f>
        <v>2025</v>
      </c>
      <c r="T53" s="45">
        <f>+S53+1</f>
        <v>2026</v>
      </c>
      <c r="U53" s="8">
        <f t="shared" ref="U53:Z53" si="90">+T53+1</f>
        <v>2027</v>
      </c>
      <c r="V53" s="8">
        <f t="shared" si="90"/>
        <v>2028</v>
      </c>
      <c r="W53" s="8">
        <f t="shared" si="90"/>
        <v>2029</v>
      </c>
      <c r="X53" s="133">
        <f t="shared" si="90"/>
        <v>2030</v>
      </c>
      <c r="Y53" s="8">
        <f t="shared" si="90"/>
        <v>2031</v>
      </c>
      <c r="Z53" s="8">
        <f t="shared" si="90"/>
        <v>2032</v>
      </c>
      <c r="AA53" s="8">
        <f t="shared" ref="AA53" si="91">+Z53+1</f>
        <v>2033</v>
      </c>
      <c r="AB53" s="8">
        <f t="shared" ref="AB53" si="92">+AA53+1</f>
        <v>2034</v>
      </c>
      <c r="AC53" s="133" t="s">
        <v>34</v>
      </c>
      <c r="AF53" s="71"/>
      <c r="AG53" s="71"/>
      <c r="AH53" s="71"/>
      <c r="AI53" s="71"/>
      <c r="AJ53" s="71"/>
      <c r="AK53" s="71"/>
      <c r="AL53" s="71"/>
      <c r="AM53" s="71"/>
      <c r="AN53" s="71"/>
      <c r="AO53" s="71"/>
      <c r="AP53" s="71"/>
      <c r="AQ53" s="71"/>
      <c r="AR53" s="70"/>
      <c r="AS53" s="70"/>
      <c r="AT53" s="70"/>
      <c r="AU53" s="70"/>
      <c r="AV53" s="70"/>
      <c r="AW53" s="70"/>
      <c r="AX53" s="70"/>
      <c r="AY53" s="70"/>
      <c r="AZ53" s="70"/>
    </row>
    <row r="54" spans="1:65" ht="14.25" customHeight="1" x14ac:dyDescent="0.2">
      <c r="A54" s="230" t="s">
        <v>114</v>
      </c>
      <c r="B54" s="231"/>
      <c r="C54" s="302"/>
      <c r="D54" s="302"/>
      <c r="E54" s="302"/>
      <c r="F54" s="302"/>
      <c r="G54" s="302"/>
      <c r="H54" s="302"/>
      <c r="I54" s="302"/>
      <c r="J54" s="302"/>
      <c r="K54" s="302"/>
      <c r="L54" s="302"/>
      <c r="M54" s="21">
        <f t="shared" si="89"/>
        <v>0</v>
      </c>
      <c r="N54" s="299"/>
      <c r="O54" s="299" t="s">
        <v>113</v>
      </c>
      <c r="P54" s="128"/>
      <c r="Q54" s="156" t="s">
        <v>74</v>
      </c>
      <c r="R54" s="333">
        <f t="shared" ref="R54:R63" si="93">+AC54</f>
        <v>0</v>
      </c>
      <c r="S54" s="331">
        <f t="shared" ref="S54:Z54" si="94">+S30</f>
        <v>0</v>
      </c>
      <c r="T54" s="331">
        <f t="shared" si="94"/>
        <v>0</v>
      </c>
      <c r="U54" s="331">
        <f t="shared" si="94"/>
        <v>0</v>
      </c>
      <c r="V54" s="331">
        <f t="shared" si="94"/>
        <v>0</v>
      </c>
      <c r="W54" s="331">
        <f t="shared" si="94"/>
        <v>0</v>
      </c>
      <c r="X54" s="332">
        <f t="shared" si="94"/>
        <v>0</v>
      </c>
      <c r="Y54" s="309">
        <f t="shared" si="94"/>
        <v>0</v>
      </c>
      <c r="Z54" s="28">
        <f t="shared" si="94"/>
        <v>0</v>
      </c>
      <c r="AA54" s="28">
        <f t="shared" ref="AA54:AB54" si="95">+AA30</f>
        <v>0</v>
      </c>
      <c r="AB54" s="28">
        <f t="shared" si="95"/>
        <v>0</v>
      </c>
      <c r="AC54" s="134">
        <f>SUM(S54:AB54)</f>
        <v>0</v>
      </c>
      <c r="AF54" s="70"/>
      <c r="AG54" s="70"/>
      <c r="AH54" s="70"/>
      <c r="AI54" s="70"/>
      <c r="AJ54" s="70"/>
      <c r="AK54" s="70"/>
      <c r="AL54" s="70"/>
      <c r="AM54" s="70"/>
      <c r="AN54" s="70"/>
      <c r="AO54" s="70"/>
      <c r="AP54" s="70"/>
      <c r="AQ54" s="70"/>
      <c r="AR54" s="70"/>
      <c r="AS54" s="70"/>
      <c r="AT54" s="70"/>
      <c r="AU54" s="70"/>
      <c r="AV54" s="70"/>
      <c r="AW54" s="70"/>
      <c r="AX54" s="70"/>
      <c r="AY54" s="70"/>
      <c r="AZ54" s="70"/>
    </row>
    <row r="55" spans="1:65" ht="14.25" customHeight="1" x14ac:dyDescent="0.2">
      <c r="A55" s="210" t="s">
        <v>114</v>
      </c>
      <c r="B55" s="16"/>
      <c r="C55" s="302"/>
      <c r="D55" s="302"/>
      <c r="E55" s="302"/>
      <c r="F55" s="302"/>
      <c r="G55" s="302"/>
      <c r="H55" s="302"/>
      <c r="I55" s="302"/>
      <c r="J55" s="302"/>
      <c r="K55" s="302"/>
      <c r="L55" s="302"/>
      <c r="M55" s="21">
        <f t="shared" si="89"/>
        <v>0</v>
      </c>
      <c r="N55" s="299"/>
      <c r="O55" s="299" t="s">
        <v>113</v>
      </c>
      <c r="P55" s="128"/>
      <c r="Q55" s="157" t="s">
        <v>75</v>
      </c>
      <c r="R55" s="324">
        <f>+AC55</f>
        <v>0</v>
      </c>
      <c r="S55" s="325">
        <f t="shared" ref="S55:Z55" si="96">+S46</f>
        <v>0</v>
      </c>
      <c r="T55" s="325">
        <f t="shared" si="96"/>
        <v>0</v>
      </c>
      <c r="U55" s="325">
        <f t="shared" si="96"/>
        <v>0</v>
      </c>
      <c r="V55" s="325">
        <f t="shared" si="96"/>
        <v>0</v>
      </c>
      <c r="W55" s="325">
        <f t="shared" si="96"/>
        <v>0</v>
      </c>
      <c r="X55" s="326">
        <f t="shared" si="96"/>
        <v>0</v>
      </c>
      <c r="Y55" s="310">
        <f t="shared" si="96"/>
        <v>0</v>
      </c>
      <c r="Z55" s="122">
        <f t="shared" si="96"/>
        <v>0</v>
      </c>
      <c r="AA55" s="122">
        <f t="shared" ref="AA55:AB55" si="97">+AA46</f>
        <v>0</v>
      </c>
      <c r="AB55" s="122">
        <f t="shared" si="97"/>
        <v>0</v>
      </c>
      <c r="AC55" s="150">
        <f t="shared" ref="AC55:AC63" si="98">SUM(S55:AB55)</f>
        <v>0</v>
      </c>
      <c r="AF55" s="70"/>
      <c r="AG55" s="70"/>
      <c r="AH55" s="70"/>
      <c r="AI55" s="70"/>
      <c r="AJ55" s="70"/>
      <c r="AK55" s="70"/>
      <c r="AL55" s="70"/>
      <c r="AM55" s="70"/>
      <c r="AN55" s="70"/>
      <c r="AO55" s="70"/>
      <c r="AP55" s="70"/>
      <c r="AQ55" s="70"/>
      <c r="AR55" s="70"/>
      <c r="AS55" s="70"/>
      <c r="AT55" s="70"/>
      <c r="AU55" s="70"/>
      <c r="AV55" s="70"/>
      <c r="AW55" s="70"/>
      <c r="AX55" s="70"/>
      <c r="AY55" s="70"/>
      <c r="AZ55" s="70"/>
    </row>
    <row r="56" spans="1:65" ht="14.25" customHeight="1" x14ac:dyDescent="0.2">
      <c r="A56" s="230" t="s">
        <v>114</v>
      </c>
      <c r="B56" s="231"/>
      <c r="C56" s="302"/>
      <c r="D56" s="302"/>
      <c r="E56" s="302"/>
      <c r="F56" s="302"/>
      <c r="G56" s="302"/>
      <c r="H56" s="302"/>
      <c r="I56" s="302"/>
      <c r="J56" s="302"/>
      <c r="K56" s="302"/>
      <c r="L56" s="302"/>
      <c r="M56" s="21">
        <f t="shared" si="89"/>
        <v>0</v>
      </c>
      <c r="N56" s="299"/>
      <c r="O56" s="299" t="s">
        <v>113</v>
      </c>
      <c r="P56" s="128"/>
      <c r="Q56" s="158" t="s">
        <v>76</v>
      </c>
      <c r="R56" s="327">
        <f t="shared" si="93"/>
        <v>0</v>
      </c>
      <c r="S56" s="328">
        <f>+SUM(S54:S55)</f>
        <v>0</v>
      </c>
      <c r="T56" s="328">
        <f t="shared" ref="T56:Z56" si="99">+SUM(T54:T55)</f>
        <v>0</v>
      </c>
      <c r="U56" s="328">
        <f t="shared" si="99"/>
        <v>0</v>
      </c>
      <c r="V56" s="328">
        <f t="shared" si="99"/>
        <v>0</v>
      </c>
      <c r="W56" s="328">
        <f t="shared" si="99"/>
        <v>0</v>
      </c>
      <c r="X56" s="329">
        <f t="shared" si="99"/>
        <v>0</v>
      </c>
      <c r="Y56" s="311">
        <f t="shared" si="99"/>
        <v>0</v>
      </c>
      <c r="Z56" s="146">
        <f t="shared" si="99"/>
        <v>0</v>
      </c>
      <c r="AA56" s="146">
        <f t="shared" ref="AA56:AB56" si="100">+SUM(AA54:AA55)</f>
        <v>0</v>
      </c>
      <c r="AB56" s="146">
        <f t="shared" si="100"/>
        <v>0</v>
      </c>
      <c r="AC56" s="147">
        <f t="shared" si="98"/>
        <v>0</v>
      </c>
      <c r="AF56" s="70"/>
      <c r="AG56" s="70"/>
      <c r="AH56" s="70"/>
      <c r="AI56" s="70"/>
      <c r="AJ56" s="70"/>
      <c r="AK56" s="70"/>
      <c r="AL56" s="70"/>
      <c r="AM56" s="70"/>
      <c r="AN56" s="70"/>
      <c r="AO56" s="70"/>
      <c r="AP56" s="70"/>
      <c r="AQ56" s="70"/>
      <c r="AR56" s="70"/>
      <c r="AS56" s="70"/>
      <c r="AT56" s="70"/>
      <c r="AU56" s="70"/>
      <c r="AV56" s="70"/>
      <c r="AW56" s="70"/>
      <c r="AX56" s="70"/>
      <c r="AY56" s="70"/>
      <c r="AZ56" s="70"/>
    </row>
    <row r="57" spans="1:65" ht="14.25" customHeight="1" x14ac:dyDescent="0.2">
      <c r="A57" s="210" t="s">
        <v>114</v>
      </c>
      <c r="B57" s="16"/>
      <c r="C57" s="302"/>
      <c r="D57" s="302"/>
      <c r="E57" s="302"/>
      <c r="F57" s="302"/>
      <c r="G57" s="302"/>
      <c r="H57" s="302"/>
      <c r="I57" s="302"/>
      <c r="J57" s="302"/>
      <c r="K57" s="302"/>
      <c r="L57" s="302"/>
      <c r="M57" s="21">
        <f t="shared" si="89"/>
        <v>0</v>
      </c>
      <c r="N57" s="299"/>
      <c r="O57" s="299" t="s">
        <v>113</v>
      </c>
      <c r="P57" s="128"/>
      <c r="Q57" s="158" t="s">
        <v>77</v>
      </c>
      <c r="R57" s="327">
        <f t="shared" si="93"/>
        <v>0</v>
      </c>
      <c r="S57" s="328">
        <f>+C65</f>
        <v>0</v>
      </c>
      <c r="T57" s="328">
        <f t="shared" ref="T57:AB57" si="101">+D65</f>
        <v>0</v>
      </c>
      <c r="U57" s="328">
        <f t="shared" si="101"/>
        <v>0</v>
      </c>
      <c r="V57" s="328">
        <f t="shared" si="101"/>
        <v>0</v>
      </c>
      <c r="W57" s="328">
        <f t="shared" si="101"/>
        <v>0</v>
      </c>
      <c r="X57" s="329">
        <f t="shared" si="101"/>
        <v>0</v>
      </c>
      <c r="Y57" s="311">
        <f t="shared" si="101"/>
        <v>0</v>
      </c>
      <c r="Z57" s="146">
        <f t="shared" si="101"/>
        <v>0</v>
      </c>
      <c r="AA57" s="146">
        <f t="shared" si="101"/>
        <v>0</v>
      </c>
      <c r="AB57" s="146">
        <f t="shared" si="101"/>
        <v>0</v>
      </c>
      <c r="AC57" s="147">
        <f t="shared" si="98"/>
        <v>0</v>
      </c>
      <c r="AF57" s="70"/>
      <c r="AG57" s="70"/>
      <c r="AH57" s="70"/>
      <c r="AI57" s="70"/>
      <c r="AJ57" s="70"/>
      <c r="AK57" s="70"/>
      <c r="AL57" s="70"/>
      <c r="AM57" s="70"/>
      <c r="AN57" s="70"/>
      <c r="AO57" s="70"/>
      <c r="AP57" s="70"/>
      <c r="AQ57" s="70"/>
      <c r="AR57" s="70"/>
      <c r="AS57" s="70"/>
      <c r="AT57" s="70"/>
      <c r="AU57" s="70"/>
      <c r="AV57" s="70"/>
      <c r="AW57" s="70"/>
      <c r="AX57" s="70"/>
      <c r="AY57" s="70"/>
      <c r="AZ57" s="70"/>
    </row>
    <row r="58" spans="1:65" ht="14.25" customHeight="1" x14ac:dyDescent="0.2">
      <c r="A58" s="230" t="s">
        <v>114</v>
      </c>
      <c r="B58" s="231"/>
      <c r="C58" s="302"/>
      <c r="D58" s="302"/>
      <c r="E58" s="302"/>
      <c r="F58" s="302"/>
      <c r="G58" s="302"/>
      <c r="H58" s="302"/>
      <c r="I58" s="302"/>
      <c r="J58" s="302"/>
      <c r="K58" s="302"/>
      <c r="L58" s="302"/>
      <c r="M58" s="21">
        <f t="shared" si="89"/>
        <v>0</v>
      </c>
      <c r="N58" s="299"/>
      <c r="O58" s="299" t="s">
        <v>113</v>
      </c>
      <c r="P58" s="128"/>
      <c r="Q58" s="158" t="s">
        <v>78</v>
      </c>
      <c r="R58" s="327">
        <f t="shared" si="93"/>
        <v>0</v>
      </c>
      <c r="S58" s="328">
        <f>+S57+S56</f>
        <v>0</v>
      </c>
      <c r="T58" s="328">
        <f t="shared" ref="T58:Z58" si="102">+T57+T56</f>
        <v>0</v>
      </c>
      <c r="U58" s="328">
        <f t="shared" si="102"/>
        <v>0</v>
      </c>
      <c r="V58" s="328">
        <f t="shared" si="102"/>
        <v>0</v>
      </c>
      <c r="W58" s="328">
        <f t="shared" si="102"/>
        <v>0</v>
      </c>
      <c r="X58" s="329">
        <f t="shared" si="102"/>
        <v>0</v>
      </c>
      <c r="Y58" s="311">
        <f t="shared" si="102"/>
        <v>0</v>
      </c>
      <c r="Z58" s="146">
        <f t="shared" si="102"/>
        <v>0</v>
      </c>
      <c r="AA58" s="146">
        <f t="shared" ref="AA58:AB58" si="103">+AA57+AA56</f>
        <v>0</v>
      </c>
      <c r="AB58" s="146">
        <f t="shared" si="103"/>
        <v>0</v>
      </c>
      <c r="AC58" s="147">
        <f t="shared" si="98"/>
        <v>0</v>
      </c>
      <c r="AF58" s="70"/>
      <c r="AG58" s="70"/>
      <c r="AH58" s="70"/>
      <c r="AI58" s="70"/>
      <c r="AJ58" s="70"/>
      <c r="AK58" s="70"/>
      <c r="AL58" s="70"/>
      <c r="AM58" s="70"/>
      <c r="AN58" s="70"/>
      <c r="AO58" s="70"/>
      <c r="AP58" s="70"/>
      <c r="AQ58" s="70"/>
      <c r="AR58" s="70"/>
      <c r="AS58" s="70"/>
      <c r="AT58" s="70"/>
      <c r="AU58" s="70"/>
      <c r="AV58" s="70"/>
      <c r="AW58" s="70"/>
      <c r="AX58" s="70"/>
      <c r="AY58" s="70"/>
      <c r="AZ58" s="70"/>
    </row>
    <row r="59" spans="1:65" ht="14.25" customHeight="1" x14ac:dyDescent="0.2">
      <c r="A59" s="210" t="s">
        <v>114</v>
      </c>
      <c r="B59" s="16"/>
      <c r="C59" s="302"/>
      <c r="D59" s="302"/>
      <c r="E59" s="302"/>
      <c r="F59" s="302"/>
      <c r="G59" s="302"/>
      <c r="H59" s="302"/>
      <c r="I59" s="302"/>
      <c r="J59" s="302"/>
      <c r="K59" s="302"/>
      <c r="L59" s="302"/>
      <c r="M59" s="21">
        <f t="shared" si="89"/>
        <v>0</v>
      </c>
      <c r="N59" s="299"/>
      <c r="O59" s="299" t="s">
        <v>113</v>
      </c>
      <c r="P59" s="128"/>
      <c r="Q59" s="159" t="s">
        <v>0</v>
      </c>
      <c r="R59" s="327">
        <f t="shared" si="93"/>
        <v>0</v>
      </c>
      <c r="S59" s="162">
        <f>IF(C12=2,S56*C6/100,IF($G$6=Lister!$D$4,(S56*$C$6)/100,IF($G$6=Lister!$D$5,(S58*$C$6)/100,IF($G$6=Lister!$D$6,((S58-SUMIF($A$52:$A$62,Lister!$M$10,C52:C62))*$C$6)/100,IF($G$6=Lister!$D$7,(S57*$C$6)/100,0)))))</f>
        <v>0</v>
      </c>
      <c r="T59" s="162">
        <f>IF(D12=2,T56*D6/100,IF($G$6=Lister!$D$4,(T56*$C$6)/100,IF($G$6=Lister!$D$5,(T58*$C$6)/100,IF($G$6=Lister!$D$6,((T58-SUMIF($A$52:$A$62,Lister!$M$10,D52:D62))*$C$6)/100,IF($G$6=Lister!$D$7,(T57*$C$6)/100,0)))))</f>
        <v>0</v>
      </c>
      <c r="U59" s="162">
        <f>IF(E12=2,U56*E6/100,IF($G$6=Lister!$D$4,(U56*$C$6)/100,IF($G$6=Lister!$D$5,(U58*$C$6)/100,IF($G$6=Lister!$D$6,((U58-SUMIF($A$52:$A$62,Lister!$M$10,E52:E62))*$C$6)/100,IF($G$6=Lister!$D$7,(U57*$C$6)/100,0)))))</f>
        <v>0</v>
      </c>
      <c r="V59" s="162">
        <f>IF(F12=2,V56*F6/100,IF($G$6=Lister!$D$4,(V56*$C$6)/100,IF($G$6=Lister!$D$5,(V58*$C$6)/100,IF($G$6=Lister!$D$6,((V58-SUMIF($A$52:$A$62,Lister!$M$10,F52:F62))*$C$6)/100,IF($G$6=Lister!$D$7,(V57*$C$6)/100,0)))))</f>
        <v>0</v>
      </c>
      <c r="W59" s="162">
        <f>IF(G12=2,W56*G6/100,IF($G$6=Lister!$D$4,(W56*$C$6)/100,IF($G$6=Lister!$D$5,(W58*$C$6)/100,IF($G$6=Lister!$D$6,((W58-SUMIF($A$52:$A$62,Lister!$M$10,G52:G62))*$C$6)/100,IF($G$6=Lister!$D$7,(W57*$C$6)/100,0)))))</f>
        <v>0</v>
      </c>
      <c r="X59" s="315">
        <f>IF(H12=2,X56*H6/100,IF($G$6=Lister!$D$4,(X56*$C$6)/100,IF($G$6=Lister!$D$5,(X58*$C$6)/100,IF($G$6=Lister!$D$6,((X58-SUMIF($A$52:$A$62,Lister!$M$10,H52:H62))*$C$6)/100,IF($G$6=Lister!$D$7,(X57*$C$6)/100,0)))))</f>
        <v>0</v>
      </c>
      <c r="Y59" s="312">
        <f>IF(I12=2,Y56*I6/100,IF($G$6=Lister!$D$4,(Y56*$C$6)/100,IF($G$6=Lister!$D$5,(Y58*$C$6)/100,IF($G$6=Lister!$D$6,((Y58-SUMIF($A$52:$A$62,Lister!$M$10,I52:I62))*$C$6)/100,IF($G$6=Lister!$D$7,(Y57*$C$6)/100,0)))))</f>
        <v>0</v>
      </c>
      <c r="Z59" s="21">
        <f>IF(J12=2,Z56*J6/100,IF($G$6=Lister!$D$4,(Z56*$C$6)/100,IF($G$6=Lister!$D$5,(Z58*$C$6)/100,IF($G$6=Lister!$D$6,((Z58-SUMIF($A$52:$A$62,Lister!$M$10,J52:J62))*$C$6)/100,IF($G$6=Lister!$D$7,(Z57*$C$6)/100,0)))))</f>
        <v>0</v>
      </c>
      <c r="AA59" s="21">
        <f>IF(K12=2,AA56*K6/100,IF($G$6=Lister!$D$4,(AA56*$C$6)/100,IF($G$6=Lister!$D$5,(AA58*$C$6)/100,IF($G$6=Lister!$D$6,((AA58-SUMIF($A$52:$A$62,Lister!$M$10,K52:K62))*$C$6)/100,IF($G$6=Lister!$D$7,(AA57*$C$6)/100,0)))))</f>
        <v>0</v>
      </c>
      <c r="AB59" s="21">
        <f>IF(L12=2,AB56*L6/100,IF($G$6=Lister!$D$4,(AB56*$C$6)/100,IF($G$6=Lister!$D$5,(AB58*$C$6)/100,IF($G$6=Lister!$D$6,((AB58-SUMIF($A$52:$A$62,Lister!$M$10,L52:L62))*$C$6)/100,IF($G$6=Lister!$D$7,(AB57*$C$6)/100,0)))))</f>
        <v>0</v>
      </c>
      <c r="AC59" s="147">
        <f t="shared" si="98"/>
        <v>0</v>
      </c>
      <c r="AF59" s="70"/>
      <c r="AG59" s="70"/>
      <c r="AH59" s="70"/>
      <c r="AI59" s="70"/>
      <c r="AJ59" s="70"/>
      <c r="AK59" s="70"/>
      <c r="AL59" s="70"/>
      <c r="AM59" s="70"/>
      <c r="AN59" s="70"/>
      <c r="AO59" s="70"/>
      <c r="AP59" s="70"/>
      <c r="AQ59" s="70"/>
      <c r="AR59" s="70"/>
      <c r="AS59" s="70"/>
      <c r="AT59" s="70"/>
      <c r="AU59" s="70"/>
      <c r="AV59" s="70"/>
      <c r="AW59" s="70"/>
      <c r="AX59" s="70"/>
      <c r="AY59" s="70"/>
      <c r="AZ59" s="70"/>
    </row>
    <row r="60" spans="1:65" ht="14.25" customHeight="1" x14ac:dyDescent="0.2">
      <c r="A60" s="230" t="s">
        <v>114</v>
      </c>
      <c r="B60" s="231"/>
      <c r="C60" s="302"/>
      <c r="D60" s="302"/>
      <c r="E60" s="302"/>
      <c r="F60" s="302"/>
      <c r="G60" s="302"/>
      <c r="H60" s="302"/>
      <c r="I60" s="302"/>
      <c r="J60" s="302"/>
      <c r="K60" s="302"/>
      <c r="L60" s="302"/>
      <c r="M60" s="21">
        <f t="shared" si="89"/>
        <v>0</v>
      </c>
      <c r="N60" s="299"/>
      <c r="O60" s="299" t="s">
        <v>113</v>
      </c>
      <c r="P60" s="128"/>
      <c r="Q60" s="160" t="s">
        <v>103</v>
      </c>
      <c r="R60" s="327">
        <f t="shared" si="93"/>
        <v>0</v>
      </c>
      <c r="S60" s="162">
        <f>+IF($C$8=Lister!$O$5,C$30*Takstblad!C$81,0)</f>
        <v>0</v>
      </c>
      <c r="T60" s="162">
        <f>+IF($C$8=Lister!$O$5,D$30*Takstblad!D$81,0)</f>
        <v>0</v>
      </c>
      <c r="U60" s="162">
        <f>+IF($C$8=Lister!$O$5,E$30*Takstblad!E$81,0)</f>
        <v>0</v>
      </c>
      <c r="V60" s="162">
        <f>+IF($C$8=Lister!$O$5,F$30*Takstblad!F$81,0)</f>
        <v>0</v>
      </c>
      <c r="W60" s="162">
        <f>+IF($C$8=Lister!$O$5,G$30*Takstblad!G$81,0)</f>
        <v>0</v>
      </c>
      <c r="X60" s="315">
        <f>+IF($C$8=Lister!$O$5,H$30*Takstblad!H$81,0)</f>
        <v>0</v>
      </c>
      <c r="Y60" s="312">
        <f>+IF($C$8=Lister!$O$5,I$30*Takstblad!I$81,0)</f>
        <v>0</v>
      </c>
      <c r="Z60" s="21">
        <f>+IF($C$8=Lister!$O$5,J$30*Takstblad!J$81,0)</f>
        <v>0</v>
      </c>
      <c r="AA60" s="21">
        <f>+IF($C$8=Lister!$O$5,K$30*Takstblad!K$81,0)</f>
        <v>0</v>
      </c>
      <c r="AB60" s="21">
        <f>+IF($C$8=Lister!$O$5,L$30*Takstblad!L$81,0)</f>
        <v>0</v>
      </c>
      <c r="AC60" s="147">
        <f t="shared" si="98"/>
        <v>0</v>
      </c>
      <c r="AF60" s="70"/>
      <c r="AG60" s="70"/>
      <c r="AH60" s="70"/>
      <c r="AI60" s="70"/>
      <c r="AJ60" s="70"/>
      <c r="AK60" s="70"/>
      <c r="AL60" s="70"/>
      <c r="AM60" s="70"/>
      <c r="AN60" s="70"/>
      <c r="AO60" s="70"/>
      <c r="AP60" s="70"/>
      <c r="AQ60" s="70"/>
      <c r="AR60" s="70"/>
      <c r="AS60" s="70"/>
      <c r="AT60" s="70"/>
      <c r="AU60" s="70"/>
      <c r="AV60" s="70"/>
      <c r="AW60" s="70"/>
      <c r="AX60" s="70"/>
      <c r="AY60" s="70"/>
      <c r="AZ60" s="70"/>
    </row>
    <row r="61" spans="1:65" ht="14.25" customHeight="1" x14ac:dyDescent="0.2">
      <c r="A61" s="210" t="s">
        <v>114</v>
      </c>
      <c r="B61" s="16"/>
      <c r="C61" s="302"/>
      <c r="D61" s="302"/>
      <c r="E61" s="302"/>
      <c r="F61" s="302"/>
      <c r="G61" s="302"/>
      <c r="H61" s="302"/>
      <c r="I61" s="302"/>
      <c r="J61" s="302"/>
      <c r="K61" s="302"/>
      <c r="L61" s="302"/>
      <c r="M61" s="21">
        <f t="shared" si="89"/>
        <v>0</v>
      </c>
      <c r="N61" s="299"/>
      <c r="O61" s="299" t="s">
        <v>113</v>
      </c>
      <c r="P61" s="128"/>
      <c r="Q61" s="160" t="s">
        <v>108</v>
      </c>
      <c r="R61" s="327">
        <f t="shared" si="93"/>
        <v>0</v>
      </c>
      <c r="S61" s="162">
        <f>+S77+S91</f>
        <v>0</v>
      </c>
      <c r="T61" s="162">
        <f>+IF($C$8="Project-Supplement",((SUMIF($A$20:$A$29,"PhD",D$20:D$29)+SUMIF($A$20:$A$29,"Research Assistant - avr. rate",D$20:D$29)+SUMIF($A$20:$A$29,"Research Assistant - low rate",D$20:D$29)+SUMIF($A$20:$A$29,"Post doc.",D$20:D$29))/12)*Takstblad!D$82,0)</f>
        <v>0</v>
      </c>
      <c r="U61" s="162">
        <f>+IF($C$8="Project-Supplement",((SUMIF($A$20:$A$29,"PhD",E$20:E$29)+SUMIF($A$20:$A$29,"Research Assistant - avr. rate",E$20:E$29)+SUMIF($A$20:$A$29,"Research Assistant - low rate",E$20:E$29)+SUMIF($A$20:$A$29,"Post doc.",E$20:E$29))/12)*Takstblad!E$82,0)</f>
        <v>0</v>
      </c>
      <c r="V61" s="162">
        <f>+IF($C$8="Project-Supplement",((SUMIF($A$20:$A$29,"PhD",F$20:F$29)+SUMIF($A$20:$A$29,"Research Assistant - avr. rate",F$20:F$29)+SUMIF($A$20:$A$29,"Research Assistant - low rate",F$20:F$29)+SUMIF($A$20:$A$29,"Post doc.",F$20:F$29))/12)*Takstblad!F$82,0)</f>
        <v>0</v>
      </c>
      <c r="W61" s="162">
        <f>+IF($C$8="Project-Supplement",((SUMIF($A$20:$A$29,"PhD",G$20:G$29)+SUMIF($A$20:$A$29,"Research Assistant - avr. rate",G$20:G$29)+SUMIF($A$20:$A$29,"Research Assistant - low rate",G$20:G$29)+SUMIF($A$20:$A$29,"Post doc.",G$20:G$29))/12)*Takstblad!G$82,0)</f>
        <v>0</v>
      </c>
      <c r="X61" s="315">
        <f>+IF($C$8="Project-Supplement",((SUMIF($A$20:$A$29,"PhD",H$20:H$29)+SUMIF($A$20:$A$29,"Research Assistant - avr. rate",H$20:H$29)+SUMIF($A$20:$A$29,"Research Assistant - low rate",H$20:H$29)+SUMIF($A$20:$A$29,"Post doc.",H$20:H$29))/12)*Takstblad!H$82,0)</f>
        <v>0</v>
      </c>
      <c r="Y61" s="312">
        <f>+IF($C$8="Project-Supplement",((SUMIF($A$20:$A$29,"PhD",I$20:I$29)+SUMIF($A$20:$A$29,"Research Assistant - avr. rate",I$20:I$29)+SUMIF($A$20:$A$29,"Research Assistant - low rate",I$20:I$29)+SUMIF($A$20:$A$29,"Post doc.",I$20:I$29))/12)*Takstblad!I$82,0)</f>
        <v>0</v>
      </c>
      <c r="Z61" s="21">
        <f>+IF($C$8="Project-Supplement",((SUMIF($A$20:$A$29,"PhD",J$20:J$29)+SUMIF($A$20:$A$29,"Research Assistant - avr. rate",J$20:J$29)+SUMIF($A$20:$A$29,"Research Assistant - low rate",J$20:J$29)+SUMIF($A$20:$A$29,"Post doc.",J$20:J$29))/12)*Takstblad!J$82,0)</f>
        <v>0</v>
      </c>
      <c r="AA61" s="21">
        <f>+IF($C$8="Project-Supplement",((SUMIF($A$20:$A$29,"PhD",K$20:K$29)+SUMIF($A$20:$A$29,"Research Assistant - avr. rate",K$20:K$29)+SUMIF($A$20:$A$29,"Research Assistant - low rate",K$20:K$29)+SUMIF($A$20:$A$29,"Post doc.",K$20:K$29))/12)*Takstblad!K$82,0)</f>
        <v>0</v>
      </c>
      <c r="AB61" s="21">
        <f>+IF($C$8="Project-Supplement",((SUMIF($A$20:$A$29,"PhD",L$20:L$29)+SUMIF($A$20:$A$29,"Research Assistant - avr. rate",L$20:L$29)+SUMIF($A$20:$A$29,"Research Assistant - low rate",L$20:L$29)+SUMIF($A$20:$A$29,"Post doc.",L$20:L$29))/12)*Takstblad!L$82,0)</f>
        <v>0</v>
      </c>
      <c r="AC61" s="147">
        <f t="shared" si="98"/>
        <v>0</v>
      </c>
      <c r="AF61" s="70"/>
      <c r="AG61" s="70"/>
      <c r="AH61" s="70"/>
      <c r="AI61" s="70"/>
      <c r="AJ61" s="70"/>
      <c r="AK61" s="70"/>
      <c r="AL61" s="70"/>
      <c r="AM61" s="70"/>
      <c r="AN61" s="70"/>
      <c r="AO61" s="70"/>
      <c r="AP61" s="70"/>
      <c r="AQ61" s="70"/>
      <c r="AR61" s="70"/>
      <c r="AS61" s="70"/>
      <c r="AT61" s="70"/>
      <c r="AU61" s="70"/>
      <c r="AV61" s="70"/>
      <c r="AW61" s="70"/>
      <c r="AX61" s="70"/>
      <c r="AY61" s="70"/>
      <c r="AZ61" s="70"/>
    </row>
    <row r="62" spans="1:65" s="11" customFormat="1" ht="14.25" customHeight="1" x14ac:dyDescent="0.2">
      <c r="A62" s="230" t="s">
        <v>114</v>
      </c>
      <c r="B62" s="231"/>
      <c r="C62" s="302"/>
      <c r="D62" s="302"/>
      <c r="E62" s="302"/>
      <c r="F62" s="302"/>
      <c r="G62" s="302"/>
      <c r="H62" s="302"/>
      <c r="I62" s="302"/>
      <c r="J62" s="302"/>
      <c r="K62" s="302"/>
      <c r="L62" s="302"/>
      <c r="M62" s="21">
        <f t="shared" si="89"/>
        <v>0</v>
      </c>
      <c r="N62" s="299"/>
      <c r="O62" s="299" t="s">
        <v>113</v>
      </c>
      <c r="P62" s="128"/>
      <c r="Q62" s="159" t="s">
        <v>545</v>
      </c>
      <c r="R62" s="327">
        <f t="shared" si="93"/>
        <v>0</v>
      </c>
      <c r="S62" s="162" t="str">
        <f>IF($C$12=2,(SUM(S58:S61)*$C$13)/100,"0")</f>
        <v>0</v>
      </c>
      <c r="T62" s="162" t="str">
        <f t="shared" ref="T62:Z62" si="104">IF($C$12=2,(SUM(T58:T61)*$C$13)/100,"0")</f>
        <v>0</v>
      </c>
      <c r="U62" s="162" t="str">
        <f t="shared" si="104"/>
        <v>0</v>
      </c>
      <c r="V62" s="162" t="str">
        <f t="shared" si="104"/>
        <v>0</v>
      </c>
      <c r="W62" s="162" t="str">
        <f t="shared" si="104"/>
        <v>0</v>
      </c>
      <c r="X62" s="315" t="str">
        <f t="shared" si="104"/>
        <v>0</v>
      </c>
      <c r="Y62" s="313" t="str">
        <f t="shared" si="104"/>
        <v>0</v>
      </c>
      <c r="Z62" s="162" t="str">
        <f t="shared" si="104"/>
        <v>0</v>
      </c>
      <c r="AA62" s="162" t="str">
        <f t="shared" ref="AA62:AB62" si="105">IF($C$12=2,(SUM(AA58:AA61)*$C$13)/100,"0")</f>
        <v>0</v>
      </c>
      <c r="AB62" s="162" t="str">
        <f t="shared" si="105"/>
        <v>0</v>
      </c>
      <c r="AC62" s="147">
        <f t="shared" si="98"/>
        <v>0</v>
      </c>
      <c r="AF62" s="70"/>
      <c r="AG62" s="70"/>
      <c r="AH62" s="70"/>
      <c r="AI62" s="70"/>
      <c r="AJ62" s="70"/>
      <c r="AK62" s="70"/>
      <c r="AL62" s="70"/>
      <c r="AM62" s="70"/>
      <c r="AN62" s="70"/>
      <c r="AO62" s="70"/>
      <c r="AP62" s="70"/>
      <c r="AQ62" s="70"/>
      <c r="AR62" s="78"/>
      <c r="AS62" s="78"/>
      <c r="AT62" s="78"/>
      <c r="AU62" s="78"/>
      <c r="AV62" s="78"/>
      <c r="AW62" s="78"/>
      <c r="AX62" s="78"/>
      <c r="AY62" s="78"/>
      <c r="AZ62" s="78"/>
    </row>
    <row r="63" spans="1:65" s="11" customFormat="1" ht="14.25" customHeight="1" x14ac:dyDescent="0.2">
      <c r="A63" s="5" t="s">
        <v>234</v>
      </c>
      <c r="B63" s="16"/>
      <c r="C63" s="28">
        <f>IFERROR(IF($C$12=2,0,IF($C$8="project-supplement",0,IF(OR($G$7="Salary and Operations",$G$7="Operations"),(VLOOKUP($C$2,Takstblad!$B$68:$L$80,2,FALSE)*C$67)))),0)</f>
        <v>0</v>
      </c>
      <c r="D63" s="28">
        <f>IFERROR(IF($C$12=2,0,IF($C$8="project-supplement",0,IF(OR($G$7="Salary and Operations",$G$7="Operations"),(VLOOKUP($C$2,Takstblad!$B$68:$L$80,3,FALSE)*D$67)))),0)</f>
        <v>0</v>
      </c>
      <c r="E63" s="28">
        <f>IFERROR(IF($C$12=2,0,IF($C$8="project-supplement",0,IF(OR($G$7="Salary and Operations",$G$7="Operations"),(VLOOKUP($C$2,Takstblad!$B$68:$L$80,4,FALSE)*E$67)))),0)</f>
        <v>0</v>
      </c>
      <c r="F63" s="28">
        <f>IFERROR(IF($C$12=2,0,IF($C$8="project-supplement",0,IF(OR($G$7="Salary and Operations",$G$7="Operations"),(VLOOKUP($C$2,Takstblad!$B$68:$L$80,5,FALSE)*F$67)))),0)</f>
        <v>0</v>
      </c>
      <c r="G63" s="28">
        <f>IFERROR(IF($C$12=2,0,IF($C$8="project-supplement",0,IF(OR($G$7="Salary and Operations",$G$7="Operations"),(VLOOKUP($C$2,Takstblad!$B$68:$L$80,6,FALSE)*G$67)))),0)</f>
        <v>0</v>
      </c>
      <c r="H63" s="28">
        <f>IFERROR(IF($C$12=2,0,IF($C$8="project-supplement",0,IF(OR($G$7="Salary and Operations",$G$7="Operations"),(VLOOKUP($C$2,Takstblad!$B$68:$L$80,7,FALSE)*H$67)))),0)</f>
        <v>0</v>
      </c>
      <c r="I63" s="28">
        <f>IFERROR(IF($C$12=2,0,IF($C$8="project-supplement",0,IF(OR($G$7="Salary and Operations",$G$7="Operations"),(VLOOKUP($C$2,Takstblad!$B$68:$L$80,8,FALSE)*I$67)))),0)</f>
        <v>0</v>
      </c>
      <c r="J63" s="28">
        <f>IFERROR(IF($C$12=2,0,IF($C$8="project-supplement",0,IF(OR($G$7="Salary and Operations",$G$7="Operations"),(VLOOKUP($C$2,Takstblad!$B$68:$L$80,9,FALSE)*J$67)))),0)</f>
        <v>0</v>
      </c>
      <c r="K63" s="28">
        <f>IFERROR(IF($C$12=2,0,IF($C$8="project-supplement",0,IF(OR($G$7="Salary and Operations",$G$7="Operations"),(VLOOKUP($C$2,Takstblad!$B$68:$L$80,10,FALSE)*K$67)))),0)</f>
        <v>0</v>
      </c>
      <c r="L63" s="28">
        <f>IFERROR(IF($C$12=2,0,IF($C$8="project-supplement",0,IF(OR($G$7="Salary and Operations",$G$7="Operations"),(VLOOKUP($C$2,Takstblad!$B$68:$L$80,11,FALSE)*L$67)))),0)</f>
        <v>0</v>
      </c>
      <c r="M63" s="21">
        <f t="shared" si="89"/>
        <v>0</v>
      </c>
      <c r="N63" s="21"/>
      <c r="O63" s="236" t="s">
        <v>152</v>
      </c>
      <c r="P63" s="127"/>
      <c r="Q63" s="158" t="s">
        <v>101</v>
      </c>
      <c r="R63" s="327">
        <f t="shared" si="93"/>
        <v>0</v>
      </c>
      <c r="S63" s="328">
        <f>+SUM(S58:S62)</f>
        <v>0</v>
      </c>
      <c r="T63" s="328">
        <f t="shared" ref="T63:Z63" si="106">+SUM(T58:T62)</f>
        <v>0</v>
      </c>
      <c r="U63" s="328">
        <f t="shared" si="106"/>
        <v>0</v>
      </c>
      <c r="V63" s="328">
        <f t="shared" si="106"/>
        <v>0</v>
      </c>
      <c r="W63" s="328">
        <f t="shared" si="106"/>
        <v>0</v>
      </c>
      <c r="X63" s="329">
        <f t="shared" si="106"/>
        <v>0</v>
      </c>
      <c r="Y63" s="311">
        <f t="shared" si="106"/>
        <v>0</v>
      </c>
      <c r="Z63" s="146">
        <f t="shared" si="106"/>
        <v>0</v>
      </c>
      <c r="AA63" s="146">
        <f t="shared" ref="AA63:AB63" si="107">+SUM(AA58:AA62)</f>
        <v>0</v>
      </c>
      <c r="AB63" s="146">
        <f t="shared" si="107"/>
        <v>0</v>
      </c>
      <c r="AC63" s="147">
        <f t="shared" si="98"/>
        <v>0</v>
      </c>
      <c r="AF63" s="70"/>
      <c r="AG63" s="70"/>
      <c r="AH63" s="70"/>
      <c r="AI63" s="70"/>
      <c r="AJ63" s="70"/>
      <c r="AK63" s="70"/>
      <c r="AL63" s="70"/>
      <c r="AM63" s="70"/>
      <c r="AN63" s="70"/>
      <c r="AO63" s="70"/>
      <c r="AP63" s="70"/>
      <c r="AQ63" s="70"/>
      <c r="AR63" s="78"/>
      <c r="AS63" s="78"/>
      <c r="AT63" s="78"/>
      <c r="AU63" s="78"/>
      <c r="AV63" s="78"/>
      <c r="AW63" s="78"/>
      <c r="AX63" s="78"/>
      <c r="AY63" s="78"/>
      <c r="AZ63" s="78"/>
    </row>
    <row r="64" spans="1:65" ht="14.25" customHeight="1" thickBot="1" x14ac:dyDescent="0.25">
      <c r="A64" s="5" t="s">
        <v>764</v>
      </c>
      <c r="B64" s="16"/>
      <c r="C64" s="28">
        <f>IFERROR(IF($C$12=2,0,IF($C$8="project-supplement",0,IF(OR($G$7="Salary and Operations",$G$7="Operations"),(VLOOKUP($C$2,Takstblad!$B$68:$L$80,2,FALSE)*C$68)))),0)</f>
        <v>0</v>
      </c>
      <c r="D64" s="28">
        <f>IFERROR(IF($C$12=2,0,IF($C$8="project-supplement",0,IF(OR($G$7="Salary and Operations",$G$7="Operations"),(VLOOKUP($C$2,Takstblad!$B$68:$L$80,3,FALSE)*D$68)))),0)</f>
        <v>0</v>
      </c>
      <c r="E64" s="28">
        <f>IFERROR(IF($C$12=2,0,IF($C$8="project-supplement",0,IF(OR($G$7="Salary and Operations",$G$7="Operations"),(VLOOKUP($C$2,Takstblad!$B$68:$L$80,4,FALSE)*E$68)))),0)</f>
        <v>0</v>
      </c>
      <c r="F64" s="28">
        <f>IFERROR(IF($C$12=2,0,IF($C$8="project-supplement",0,IF(OR($G$7="Salary and Operations",$G$7="Operations"),(VLOOKUP($C$2,Takstblad!$B$68:$L$80,5,FALSE)*F$68)))),0)</f>
        <v>0</v>
      </c>
      <c r="G64" s="28">
        <f>IFERROR(IF($C$12=2,0,IF($C$8="project-supplement",0,IF(OR($G$7="Salary and Operations",$G$7="Operations"),(VLOOKUP($C$2,Takstblad!$B$68:$L$80,6,FALSE)*G$68)))),0)</f>
        <v>0</v>
      </c>
      <c r="H64" s="28">
        <f>IFERROR(IF($C$12=2,0,IF($C$8="project-supplement",0,IF(OR($G$7="Salary and Operations",$G$7="Operations"),(VLOOKUP($C$2,Takstblad!$B$68:$L$80,7,FALSE)*H$68)))),0)</f>
        <v>0</v>
      </c>
      <c r="I64" s="28">
        <f>IFERROR(IF($C$12=2,0,IF($C$8="project-supplement",0,IF(OR($G$7="Salary and Operations",$G$7="Operations"),(VLOOKUP($C$2,Takstblad!$B$68:$L$80,8,FALSE)*I$68)))),0)</f>
        <v>0</v>
      </c>
      <c r="J64" s="28">
        <f>IFERROR(IF($C$12=2,0,IF($C$8="project-supplement",0,IF(OR($G$7="Salary and Operations",$G$7="Operations"),(VLOOKUP($C$2,Takstblad!$B$68:$L$80,9,FALSE)*J$68)))),0)</f>
        <v>0</v>
      </c>
      <c r="K64" s="28">
        <f>IFERROR(IF($C$12=2,0,IF($C$8="project-supplement",0,IF(OR($G$7="Salary and Operations",$G$7="Operations"),(VLOOKUP($C$2,Takstblad!$B$68:$L$80,10,FALSE)*K$68)))),0)</f>
        <v>0</v>
      </c>
      <c r="L64" s="28">
        <f>IFERROR(IF($C$12=2,0,IF($C$8="project-supplement",0,IF(OR($G$7="Salary and Operations",$G$7="Operations"),(VLOOKUP($C$2,Takstblad!$B$68:$L$80,11,FALSE)*L$68)))),0)</f>
        <v>0</v>
      </c>
      <c r="M64" s="21">
        <f t="shared" si="89"/>
        <v>0</v>
      </c>
      <c r="N64" s="95"/>
      <c r="O64" s="236" t="s">
        <v>112</v>
      </c>
      <c r="P64" s="127"/>
      <c r="Q64" s="136"/>
      <c r="R64" s="138"/>
      <c r="S64" s="137"/>
      <c r="T64" s="137"/>
      <c r="U64" s="137"/>
      <c r="V64" s="137"/>
      <c r="W64" s="137"/>
      <c r="X64" s="138"/>
      <c r="Y64" s="137"/>
      <c r="Z64" s="137"/>
      <c r="AA64" s="137"/>
      <c r="AB64" s="137"/>
      <c r="AC64" s="138"/>
      <c r="AF64" s="78"/>
      <c r="AG64" s="78"/>
      <c r="AH64" s="78"/>
      <c r="AI64" s="78"/>
      <c r="AJ64" s="78"/>
      <c r="AK64" s="78"/>
      <c r="AL64" s="78"/>
      <c r="AM64" s="78"/>
      <c r="AN64" s="78"/>
      <c r="AO64" s="78"/>
      <c r="AP64" s="78"/>
      <c r="AQ64" s="78"/>
      <c r="AR64" s="70"/>
      <c r="AS64" s="70"/>
      <c r="AT64" s="70"/>
      <c r="AU64" s="70"/>
      <c r="AV64" s="70"/>
      <c r="AW64" s="70"/>
      <c r="AX64" s="70"/>
      <c r="AY64" s="70"/>
      <c r="AZ64" s="70"/>
    </row>
    <row r="65" spans="1:62" ht="14.25" customHeight="1" thickBot="1" x14ac:dyDescent="0.3">
      <c r="A65" s="4" t="s">
        <v>72</v>
      </c>
      <c r="B65" s="16"/>
      <c r="C65" s="22">
        <f>SUM(C52:C64)-SUMIF($A$52:$A$62,Lister!$M$9,C52:C62)</f>
        <v>0</v>
      </c>
      <c r="D65" s="22">
        <f>SUM(D52:D64)-SUMIF($A$52:$A$62,Lister!$M$9,D52:D62)</f>
        <v>0</v>
      </c>
      <c r="E65" s="22">
        <f>SUM(E52:E64)-SUMIF($A$52:$A$62,Lister!$M$9,E52:E62)</f>
        <v>0</v>
      </c>
      <c r="F65" s="22">
        <f>SUM(F52:F64)-SUMIF($A$52:$A$62,Lister!$M$9,F52:F62)</f>
        <v>0</v>
      </c>
      <c r="G65" s="22">
        <f>SUM(G52:G64)-SUMIF($A$52:$A$62,Lister!$M$9,G52:G62)</f>
        <v>0</v>
      </c>
      <c r="H65" s="22">
        <f>SUM(H52:H64)-SUMIF($A$52:$A$62,Lister!$M$9,H52:H62)</f>
        <v>0</v>
      </c>
      <c r="I65" s="51">
        <f>SUM(I52:I64)-SUMIF($A$52:$A$62,Lister!$M$9,I52:I62)</f>
        <v>0</v>
      </c>
      <c r="J65" s="51">
        <f>SUM(J52:J64)-SUMIF($A$52:$A$62,Lister!$M$9,J52:J62)</f>
        <v>0</v>
      </c>
      <c r="K65" s="51">
        <f>SUM(K52:K64)-SUMIF($A$52:$A$62,Lister!$M$9,K52:K62)</f>
        <v>0</v>
      </c>
      <c r="L65" s="51">
        <f>SUM(L52:L64)-SUMIF($A$52:$A$62,Lister!$M$9,L52:L62)</f>
        <v>0</v>
      </c>
      <c r="M65" s="13">
        <f t="shared" si="89"/>
        <v>0</v>
      </c>
      <c r="N65" s="13"/>
      <c r="O65" s="16"/>
      <c r="P65" s="16"/>
      <c r="Q65" s="139" t="s">
        <v>605</v>
      </c>
      <c r="R65" s="140"/>
      <c r="S65" s="241"/>
      <c r="T65" s="145"/>
      <c r="U65" s="145"/>
      <c r="V65" s="145"/>
      <c r="W65" s="145"/>
      <c r="X65" s="320"/>
      <c r="Y65" s="145"/>
      <c r="Z65" s="145"/>
      <c r="AA65" s="145"/>
      <c r="AB65" s="145"/>
      <c r="AC65" s="140"/>
      <c r="AF65" s="78"/>
      <c r="AG65" s="78"/>
      <c r="AH65" s="78"/>
      <c r="AI65" s="78"/>
      <c r="AJ65" s="78"/>
      <c r="AK65" s="78"/>
      <c r="AL65" s="78"/>
      <c r="AM65" s="78"/>
      <c r="AN65" s="78"/>
      <c r="AO65" s="78"/>
      <c r="AP65" s="78"/>
      <c r="AQ65" s="78"/>
      <c r="AR65" s="70"/>
      <c r="AS65" s="70"/>
      <c r="AT65" s="70"/>
      <c r="AU65" s="70"/>
      <c r="AV65" s="70"/>
      <c r="AW65" s="70"/>
      <c r="AX65" s="70"/>
      <c r="AY65" s="70"/>
      <c r="AZ65" s="70"/>
    </row>
    <row r="66" spans="1:62" s="9" customFormat="1" ht="14.25" customHeight="1" x14ac:dyDescent="0.2">
      <c r="A66" s="71"/>
      <c r="B66" s="76"/>
      <c r="C66" s="76"/>
      <c r="D66" s="76"/>
      <c r="E66" s="76"/>
      <c r="F66" s="76"/>
      <c r="G66" s="76"/>
      <c r="H66" s="76"/>
      <c r="I66" s="76"/>
      <c r="J66" s="76"/>
      <c r="K66" s="76"/>
      <c r="L66" s="76"/>
      <c r="M66" s="76"/>
      <c r="N66" s="76"/>
      <c r="O66" s="86"/>
      <c r="P66" s="86"/>
      <c r="Q66" s="141"/>
      <c r="R66" s="142"/>
      <c r="S66" s="16"/>
      <c r="T66" s="76"/>
      <c r="U66" s="76"/>
      <c r="V66" s="76"/>
      <c r="W66" s="76"/>
      <c r="X66" s="142"/>
      <c r="Y66" s="76"/>
      <c r="Z66" s="76"/>
      <c r="AA66" s="76"/>
      <c r="AB66" s="76"/>
      <c r="AC66" s="142"/>
      <c r="AF66" s="70"/>
      <c r="AG66" s="70"/>
      <c r="AH66" s="70"/>
      <c r="AI66" s="70"/>
      <c r="AJ66" s="70"/>
      <c r="AK66" s="70"/>
      <c r="AL66" s="70"/>
      <c r="AM66" s="70"/>
      <c r="AN66" s="70"/>
      <c r="AO66" s="70"/>
      <c r="AP66" s="70"/>
      <c r="AQ66" s="70"/>
      <c r="AR66" s="71"/>
      <c r="AS66" s="71"/>
      <c r="AT66" s="71"/>
      <c r="AU66" s="71"/>
      <c r="AV66" s="71"/>
      <c r="AW66" s="71"/>
      <c r="AX66" s="71"/>
      <c r="AY66" s="71"/>
      <c r="AZ66" s="71"/>
    </row>
    <row r="67" spans="1:62" ht="14.25" hidden="1" customHeight="1" x14ac:dyDescent="0.2">
      <c r="A67" s="71" t="s">
        <v>196</v>
      </c>
      <c r="B67" s="70"/>
      <c r="C67" s="109">
        <f>SUMIFS(C33:C42,$O$33:$O$42,Lister!$D$30,$B$33:$B$42,Lister!$A$37)+SUMIFS(C33:C42,$O$33:$O$42,Lister!$D$29,$B$33:$B$42,Lister!$A$37)</f>
        <v>0</v>
      </c>
      <c r="D67" s="109">
        <f>SUMIFS(D33:D42,$O$33:$O$42,Lister!$D$30,$B$33:$B$42,Lister!$A$37)+SUMIFS(D33:D42,$O$33:$O$42,Lister!$D$29,$B$33:$B$42,Lister!$A$37)</f>
        <v>0</v>
      </c>
      <c r="E67" s="109">
        <f>SUMIFS(E33:E42,$O$33:$O$42,Lister!$D$30,$B$33:$B$42,Lister!$A$37)+SUMIFS(E33:E42,$O$33:$O$42,Lister!$D$29,$B$33:$B$42,Lister!$A$37)</f>
        <v>0</v>
      </c>
      <c r="F67" s="109">
        <f>SUMIFS(F33:F42,$O$33:$O$42,Lister!$D$30,$B$33:$B$42,Lister!$A$37)+SUMIFS(F33:F42,$O$33:$O$42,Lister!$D$29,$B$33:$B$42,Lister!$A$37)</f>
        <v>0</v>
      </c>
      <c r="G67" s="109">
        <f>SUMIFS(G33:G42,$O$33:$O$42,Lister!$D$30,$B$33:$B$42,Lister!$A$37)+SUMIFS(G33:G42,$O$33:$O$42,Lister!$D$29,$B$33:$B$42,Lister!$A$37)</f>
        <v>0</v>
      </c>
      <c r="H67" s="109">
        <f>SUMIFS(H33:H42,$O$33:$O$42,Lister!$D$30,$B$33:$B$42,Lister!$A$37)+SUMIFS(H33:H42,$O$33:$O$42,Lister!$D$29,$B$33:$B$42,Lister!$A$37)</f>
        <v>0</v>
      </c>
      <c r="I67" s="109">
        <f>SUMIFS(I33:I42,$O$33:$O$42,Lister!$D$30,$B$33:$B$42,Lister!$A$37)+SUMIFS(I33:I42,$O$33:$O$42,Lister!$D$29,$B$33:$B$42,Lister!$A$37)</f>
        <v>0</v>
      </c>
      <c r="J67" s="109">
        <f>SUMIFS(J33:J42,$O$33:$O$42,Lister!$D$30,$B$33:$B$42,Lister!$A$37)+SUMIFS(J33:J42,$O$33:$O$42,Lister!$D$29,$B$33:$B$42,Lister!$A$37)</f>
        <v>0</v>
      </c>
      <c r="K67" s="109">
        <f>SUMIFS(K33:K42,$O$33:$O$42,Lister!$D$30,$B$33:$B$42,Lister!$A$37)+SUMIFS(K33:K42,$O$33:$O$42,Lister!$D$29,$B$33:$B$42,Lister!$A$37)</f>
        <v>0</v>
      </c>
      <c r="L67" s="109">
        <f>SUMIFS(L33:L42,$O$33:$O$42,Lister!$D$30,$B$33:$B$42,Lister!$A$37)+SUMIFS(L33:L42,$O$33:$O$42,Lister!$D$29,$B$33:$B$42,Lister!$A$37)</f>
        <v>0</v>
      </c>
      <c r="M67" s="70"/>
      <c r="N67" s="70"/>
      <c r="O67" s="85"/>
      <c r="P67" s="85"/>
      <c r="Q67" s="141"/>
      <c r="R67" s="142"/>
      <c r="S67" s="16"/>
      <c r="T67" s="76"/>
      <c r="U67" s="76"/>
      <c r="V67" s="76"/>
      <c r="W67" s="76"/>
      <c r="X67" s="142"/>
      <c r="Y67" s="76"/>
      <c r="Z67" s="76"/>
      <c r="AA67" s="76"/>
      <c r="AB67" s="76"/>
      <c r="AC67" s="142"/>
      <c r="AF67" s="70"/>
      <c r="AG67" s="70"/>
      <c r="AH67" s="70"/>
      <c r="AI67" s="70"/>
      <c r="AJ67" s="70"/>
      <c r="AK67" s="70"/>
      <c r="AL67" s="70"/>
      <c r="AM67" s="70"/>
      <c r="AN67" s="70"/>
      <c r="AO67" s="70"/>
      <c r="AP67" s="70"/>
      <c r="AQ67" s="70"/>
      <c r="AR67" s="70"/>
      <c r="AS67" s="70"/>
      <c r="AT67" s="70"/>
      <c r="AU67" s="70"/>
      <c r="AV67" s="70"/>
      <c r="AW67" s="70"/>
      <c r="AX67" s="70"/>
      <c r="AY67" s="70"/>
      <c r="AZ67" s="70"/>
    </row>
    <row r="68" spans="1:62" ht="14.25" hidden="1" customHeight="1" x14ac:dyDescent="0.2">
      <c r="A68" s="71" t="s">
        <v>197</v>
      </c>
      <c r="B68" s="71"/>
      <c r="C68" s="109">
        <f>SUMIFS(C33:C42,$O$33:$O$42,Lister!$D$31,$B$33:$B$42,Lister!$A$37)</f>
        <v>0</v>
      </c>
      <c r="D68" s="109">
        <f>SUMIFS(D33:D42,$O$33:$O$42,Lister!$D$31,$B$33:$B$42,Lister!$A$37)</f>
        <v>0</v>
      </c>
      <c r="E68" s="109">
        <f>SUMIFS(E33:E42,$O$33:$O$42,Lister!$D$31,$B$33:$B$42,Lister!$A$37)</f>
        <v>0</v>
      </c>
      <c r="F68" s="109">
        <f>SUMIFS(F33:F42,$O$33:$O$42,Lister!$D$31,$B$33:$B$42,Lister!$A$37)</f>
        <v>0</v>
      </c>
      <c r="G68" s="109">
        <f>SUMIFS(G33:G42,$O$33:$O$42,Lister!$D$31,$B$33:$B$42,Lister!$A$37)</f>
        <v>0</v>
      </c>
      <c r="H68" s="109">
        <f>SUMIFS(H33:H42,$O$33:$O$42,Lister!$D$31,$B$33:$B$42,Lister!$A$37)</f>
        <v>0</v>
      </c>
      <c r="I68" s="109">
        <f>SUMIFS(I33:I42,$O$33:$O$42,Lister!$D$31,$B$33:$B$42,Lister!$A$37)</f>
        <v>0</v>
      </c>
      <c r="J68" s="109">
        <f>SUMIFS(J33:J42,$O$33:$O$42,Lister!$D$31,$B$33:$B$42,Lister!$A$37)</f>
        <v>0</v>
      </c>
      <c r="K68" s="109">
        <f>SUMIFS(K33:K42,$O$33:$O$42,Lister!$D$31,$B$33:$B$42,Lister!$A$37)</f>
        <v>0</v>
      </c>
      <c r="L68" s="109">
        <f>SUMIFS(L33:L42,$O$33:$O$42,Lister!$D$31,$B$33:$B$42,Lister!$A$37)</f>
        <v>0</v>
      </c>
      <c r="M68" s="71"/>
      <c r="N68" s="71"/>
      <c r="O68" s="87"/>
      <c r="P68" s="87"/>
      <c r="Q68" s="141"/>
      <c r="R68" s="142"/>
      <c r="S68" s="16"/>
      <c r="T68" s="76"/>
      <c r="U68" s="76"/>
      <c r="V68" s="76"/>
      <c r="W68" s="76"/>
      <c r="X68" s="142"/>
      <c r="Y68" s="76"/>
      <c r="Z68" s="76"/>
      <c r="AA68" s="76"/>
      <c r="AB68" s="76"/>
      <c r="AC68" s="142"/>
      <c r="AF68" s="71"/>
      <c r="AG68" s="71"/>
      <c r="AH68" s="71"/>
      <c r="AI68" s="71"/>
      <c r="AJ68" s="71"/>
      <c r="AK68" s="71"/>
      <c r="AL68" s="71"/>
      <c r="AM68" s="71"/>
      <c r="AN68" s="71"/>
      <c r="AO68" s="71"/>
      <c r="AP68" s="71"/>
      <c r="AQ68" s="71"/>
      <c r="AR68" s="70"/>
      <c r="AS68" s="70"/>
    </row>
    <row r="69" spans="1:62" s="9" customFormat="1" ht="14.25" customHeight="1" x14ac:dyDescent="0.2">
      <c r="A69" s="70"/>
      <c r="B69" s="73"/>
      <c r="C69" s="70"/>
      <c r="D69" s="70"/>
      <c r="E69" s="70"/>
      <c r="F69" s="70"/>
      <c r="G69" s="70"/>
      <c r="H69" s="73"/>
      <c r="I69" s="73"/>
      <c r="J69" s="73"/>
      <c r="K69" s="73"/>
      <c r="L69" s="73"/>
      <c r="M69" s="73"/>
      <c r="N69" s="73"/>
      <c r="O69" s="88"/>
      <c r="P69" s="88"/>
      <c r="Q69" s="161" t="s">
        <v>22</v>
      </c>
      <c r="R69" s="133" t="s">
        <v>34</v>
      </c>
      <c r="S69" s="45">
        <f>+S53</f>
        <v>2025</v>
      </c>
      <c r="T69" s="8">
        <f t="shared" ref="T69:Z69" si="108">+T53</f>
        <v>2026</v>
      </c>
      <c r="U69" s="8">
        <f t="shared" si="108"/>
        <v>2027</v>
      </c>
      <c r="V69" s="8">
        <f t="shared" si="108"/>
        <v>2028</v>
      </c>
      <c r="W69" s="8">
        <f t="shared" si="108"/>
        <v>2029</v>
      </c>
      <c r="X69" s="133">
        <f t="shared" si="108"/>
        <v>2030</v>
      </c>
      <c r="Y69" s="8">
        <f t="shared" si="108"/>
        <v>2031</v>
      </c>
      <c r="Z69" s="8">
        <f t="shared" si="108"/>
        <v>2032</v>
      </c>
      <c r="AA69" s="8">
        <f t="shared" ref="AA69:AB69" si="109">+AA53</f>
        <v>2033</v>
      </c>
      <c r="AB69" s="8">
        <f t="shared" si="109"/>
        <v>2034</v>
      </c>
      <c r="AC69" s="133" t="s">
        <v>34</v>
      </c>
      <c r="AF69" s="71"/>
      <c r="AG69" s="71"/>
      <c r="AH69" s="71"/>
      <c r="AI69" s="71"/>
      <c r="AJ69" s="71"/>
      <c r="AK69" s="71"/>
      <c r="AL69" s="71"/>
      <c r="AM69" s="71"/>
      <c r="AN69" s="71"/>
      <c r="AO69" s="71"/>
      <c r="AP69" s="71"/>
      <c r="AQ69" s="71"/>
      <c r="AR69" s="71"/>
      <c r="AS69" s="71"/>
    </row>
    <row r="70" spans="1:62" s="9" customFormat="1" ht="14.25" customHeight="1" x14ac:dyDescent="0.2">
      <c r="A70" s="70"/>
      <c r="B70" s="78"/>
      <c r="C70" s="78"/>
      <c r="D70" s="78"/>
      <c r="E70" s="78"/>
      <c r="F70" s="78"/>
      <c r="G70" s="78"/>
      <c r="H70" s="78"/>
      <c r="I70" s="78"/>
      <c r="J70" s="78"/>
      <c r="K70" s="78"/>
      <c r="L70" s="78"/>
      <c r="M70" s="78"/>
      <c r="N70" s="78"/>
      <c r="O70" s="89"/>
      <c r="P70" s="89"/>
      <c r="Q70" s="156" t="s">
        <v>74</v>
      </c>
      <c r="R70" s="330">
        <f t="shared" ref="R70:R79" si="110">+AC70</f>
        <v>0</v>
      </c>
      <c r="S70" s="331">
        <f>+SUMIF($O$20:$O$29,Lister!$D$29,S20:S29)+SUMIF($O$20:$O$29,Lister!$D$30,S20:S29)</f>
        <v>0</v>
      </c>
      <c r="T70" s="334">
        <f>+SUMIF($O$20:$O$29,Lister!$D$29,T20:T29)+SUMIF($O$20:$O$29,Lister!$D$30,T20:T29)</f>
        <v>0</v>
      </c>
      <c r="U70" s="331">
        <f>+SUMIF($O$20:$O$29,Lister!$D$29,U20:U29)+SUMIF($O$20:$O$29,Lister!$D$30,U20:U29)</f>
        <v>0</v>
      </c>
      <c r="V70" s="334">
        <f>+SUMIF($O$20:$O$29,Lister!$D$29,V20:V29)+SUMIF($O$20:$O$29,Lister!$D$30,V20:V29)</f>
        <v>0</v>
      </c>
      <c r="W70" s="331">
        <f>+SUMIF($O$20:$O$29,Lister!$D$29,W20:W29)+SUMIF($O$20:$O$29,Lister!$D$30,W20:W29)</f>
        <v>0</v>
      </c>
      <c r="X70" s="335">
        <f>+SUMIF($O$20:$O$29,Lister!$D$29,X20:X29)+SUMIF($O$20:$O$29,Lister!$D$30,X20:X29)</f>
        <v>0</v>
      </c>
      <c r="Y70" s="309">
        <f>+SUMIF($O$20:$O$29,Lister!$D$29,Y20:Y29)+SUMIF($O$20:$O$29,Lister!$D$30,Y20:Y29)</f>
        <v>0</v>
      </c>
      <c r="Z70" s="28">
        <f>+SUMIF($O$20:$O$29,Lister!$D$29,Z20:Z29)+SUMIF($O$20:$O$29,Lister!$D$30,Z20:Z29)</f>
        <v>0</v>
      </c>
      <c r="AA70" s="28">
        <f>+SUMIF($O$20:$O$29,Lister!$D$29,AA20:AA29)+SUMIF($O$20:$O$29,Lister!$D$30,AA20:AA29)</f>
        <v>0</v>
      </c>
      <c r="AB70" s="28">
        <f>+SUMIF($O$20:$O$29,Lister!$D$29,AB20:AB29)+SUMIF($O$20:$O$29,Lister!$D$30,AB20:AB29)</f>
        <v>0</v>
      </c>
      <c r="AC70" s="149">
        <f>SUM(S70:AB70)</f>
        <v>0</v>
      </c>
      <c r="AF70" s="71"/>
      <c r="AG70" s="71"/>
      <c r="AH70" s="71"/>
      <c r="AI70" s="71"/>
      <c r="AJ70" s="71"/>
      <c r="AK70" s="71"/>
      <c r="AL70" s="71"/>
      <c r="AM70" s="71"/>
      <c r="AN70" s="71"/>
      <c r="AO70" s="71"/>
      <c r="AP70" s="71"/>
      <c r="AQ70" s="71"/>
      <c r="AR70" s="71"/>
      <c r="AS70" s="71"/>
    </row>
    <row r="71" spans="1:62" ht="14.25" customHeight="1" x14ac:dyDescent="0.2">
      <c r="N71" s="78"/>
      <c r="O71" s="89"/>
      <c r="P71" s="89"/>
      <c r="Q71" s="157" t="s">
        <v>75</v>
      </c>
      <c r="R71" s="324">
        <f t="shared" si="110"/>
        <v>0</v>
      </c>
      <c r="S71" s="325">
        <f>+SUMIF($O$33:$O$45,Lister!$D$29,S33:S45)+SUMIF($O$33:$O$45,Lister!$D$30,S33:S45)</f>
        <v>0</v>
      </c>
      <c r="T71" s="336">
        <f>+SUMIF($O$33:$O$45,Lister!$D$29,T33:T45)+SUMIF($O$33:$O$45,Lister!$D$30,T33:T45)</f>
        <v>0</v>
      </c>
      <c r="U71" s="325">
        <f>+SUMIF($O$33:$O$45,Lister!$D$29,U33:U45)+SUMIF($O$33:$O$45,Lister!$D$30,U33:U45)</f>
        <v>0</v>
      </c>
      <c r="V71" s="336">
        <f>+SUMIF($O$33:$O$45,Lister!$D$29,V33:V45)+SUMIF($O$33:$O$45,Lister!$D$30,V33:V45)</f>
        <v>0</v>
      </c>
      <c r="W71" s="325">
        <f>+SUMIF($O$33:$O$45,Lister!$D$29,W33:W45)+SUMIF($O$33:$O$45,Lister!$D$30,W33:W45)</f>
        <v>0</v>
      </c>
      <c r="X71" s="337">
        <f>+SUMIF($O$33:$O$45,Lister!$D$29,X33:X45)+SUMIF($O$33:$O$45,Lister!$D$30,X33:X45)</f>
        <v>0</v>
      </c>
      <c r="Y71" s="310">
        <f>+SUMIF($O$33:$O$45,Lister!$D$29,Y33:Y45)+SUMIF($O$33:$O$45,Lister!$D$30,Y33:Y45)</f>
        <v>0</v>
      </c>
      <c r="Z71" s="122">
        <f>+SUMIF($O$33:$O$45,Lister!$D$29,Z33:Z45)+SUMIF($O$33:$O$45,Lister!$D$30,Z33:Z45)</f>
        <v>0</v>
      </c>
      <c r="AA71" s="122">
        <f>+SUMIF($O$33:$O$45,Lister!$D$29,AA33:AA45)+SUMIF($O$33:$O$45,Lister!$D$30,AA33:AA45)</f>
        <v>0</v>
      </c>
      <c r="AB71" s="122">
        <f>+SUMIF($O$33:$O$45,Lister!$D$29,AB33:AB45)+SUMIF($O$33:$O$45,Lister!$D$30,AB33:AB45)</f>
        <v>0</v>
      </c>
      <c r="AC71" s="150">
        <f t="shared" ref="AC71:AC79" si="111">SUM(S71:AB71)</f>
        <v>0</v>
      </c>
      <c r="AF71" s="71"/>
      <c r="AG71" s="71"/>
      <c r="AH71" s="71"/>
      <c r="AI71" s="71"/>
      <c r="AJ71" s="71"/>
      <c r="AK71" s="71"/>
      <c r="AL71" s="71"/>
      <c r="AM71" s="71"/>
      <c r="AN71" s="71"/>
      <c r="AO71" s="71"/>
      <c r="AP71" s="71"/>
      <c r="AQ71" s="71"/>
      <c r="AR71" s="70"/>
      <c r="AS71" s="70"/>
    </row>
    <row r="72" spans="1:62" s="14" customFormat="1" ht="14.25" customHeight="1" x14ac:dyDescent="0.2">
      <c r="N72" s="70"/>
      <c r="O72" s="85"/>
      <c r="P72" s="85"/>
      <c r="Q72" s="158" t="s">
        <v>76</v>
      </c>
      <c r="R72" s="327">
        <f t="shared" si="110"/>
        <v>0</v>
      </c>
      <c r="S72" s="328">
        <f>+SUM(S70:S71)</f>
        <v>0</v>
      </c>
      <c r="T72" s="328">
        <f t="shared" ref="T72" si="112">+SUM(T70:T71)</f>
        <v>0</v>
      </c>
      <c r="U72" s="328">
        <f t="shared" ref="U72" si="113">+SUM(U70:U71)</f>
        <v>0</v>
      </c>
      <c r="V72" s="328">
        <f t="shared" ref="V72" si="114">+SUM(V70:V71)</f>
        <v>0</v>
      </c>
      <c r="W72" s="328">
        <f t="shared" ref="W72" si="115">+SUM(W70:W71)</f>
        <v>0</v>
      </c>
      <c r="X72" s="329">
        <f t="shared" ref="X72" si="116">+SUM(X70:X71)</f>
        <v>0</v>
      </c>
      <c r="Y72" s="151">
        <f t="shared" ref="Y72" si="117">+SUM(Y70:Y71)</f>
        <v>0</v>
      </c>
      <c r="Z72" s="146">
        <f t="shared" ref="Z72:AB72" si="118">+SUM(Z70:Z71)</f>
        <v>0</v>
      </c>
      <c r="AA72" s="146">
        <f t="shared" si="118"/>
        <v>0</v>
      </c>
      <c r="AB72" s="146">
        <f t="shared" si="118"/>
        <v>0</v>
      </c>
      <c r="AC72" s="147">
        <f t="shared" si="111"/>
        <v>0</v>
      </c>
      <c r="AF72" s="71"/>
      <c r="AG72" s="71"/>
      <c r="AH72" s="71"/>
      <c r="AI72" s="71"/>
      <c r="AJ72" s="71"/>
      <c r="AK72" s="71"/>
      <c r="AL72" s="71"/>
      <c r="AM72" s="71"/>
      <c r="AN72" s="71"/>
      <c r="AO72" s="71"/>
      <c r="AP72" s="71"/>
      <c r="AQ72" s="71"/>
      <c r="AR72" s="79"/>
      <c r="AS72" s="79"/>
    </row>
    <row r="73" spans="1:62" ht="14.25" customHeight="1" x14ac:dyDescent="0.2">
      <c r="N73" s="70"/>
      <c r="O73" s="85"/>
      <c r="P73" s="85"/>
      <c r="Q73" s="158" t="s">
        <v>77</v>
      </c>
      <c r="R73" s="327">
        <f t="shared" si="110"/>
        <v>0</v>
      </c>
      <c r="S73" s="328">
        <f>+SUMIF($O$52:$O$64,Lister!$D$29,C52:C64)+SUMIF($O$52:$O$64,Lister!$D$30,C52:C64)-SUMIFS(C52:C64,$O$52:$O$64,Lister!$D$29,$A$52:$A$64,Lister!$M$9)-SUMIFS(C52:C64,$O$52:$O$64,Lister!$D$30,$A$52:$A$64,Lister!$M$9)</f>
        <v>0</v>
      </c>
      <c r="T73" s="328">
        <f>+SUMIF($O$52:$O$64,Lister!$D$29,D52:D64)+SUMIF($O$52:$O$64,Lister!$D$30,D52:D64)-SUMIFS(D52:D64,$O$52:$O$64,Lister!$D$29,$A$52:$A$64,Lister!$M$9)-SUMIFS(D52:D64,$O$52:$O$64,Lister!$D$30,$A$52:$A$64,Lister!$M$9)</f>
        <v>0</v>
      </c>
      <c r="U73" s="328">
        <f>+SUMIF($O$52:$O$64,Lister!$D$29,E52:E64)+SUMIF($O$52:$O$64,Lister!$D$30,E52:E64)-SUMIFS(E52:E64,$O$52:$O$64,Lister!$D$29,$A$52:$A$64,Lister!$M$9)-SUMIFS(E52:E64,$O$52:$O$64,Lister!$D$30,$A$52:$A$64,Lister!$M$9)</f>
        <v>0</v>
      </c>
      <c r="V73" s="328">
        <f>+SUMIF($O$52:$O$64,Lister!$D$29,F52:F64)+SUMIF($O$52:$O$64,Lister!$D$30,F52:F64)-SUMIFS(F52:F64,$O$52:$O$64,Lister!$D$29,$A$52:$A$64,Lister!$M$9)-SUMIFS(F52:F64,$O$52:$O$64,Lister!$D$30,$A$52:$A$64,Lister!$M$9)</f>
        <v>0</v>
      </c>
      <c r="W73" s="328">
        <f>+SUMIF($O$52:$O$64,Lister!$D$29,G52:G64)+SUMIF($O$52:$O$64,Lister!$D$30,G52:G64)-SUMIFS(G52:G64,$O$52:$O$64,Lister!$D$29,$A$52:$A$64,Lister!$M$9)-SUMIFS(G52:G64,$O$52:$O$64,Lister!$D$30,$A$52:$A$64,Lister!$M$9)</f>
        <v>0</v>
      </c>
      <c r="X73" s="329">
        <f>+SUMIF($O$52:$O$64,Lister!$D$29,H52:H64)+SUMIF($O$52:$O$64,Lister!$D$30,H52:H64)-SUMIFS(H52:H64,$O$52:$O$64,Lister!$D$29,$A$52:$A$64,Lister!$M$9)-SUMIFS(H52:H64,$O$52:$O$64,Lister!$D$30,$A$52:$A$64,Lister!$M$9)</f>
        <v>0</v>
      </c>
      <c r="Y73" s="311">
        <f>+SUMIF($O$52:$O$64,Lister!$D$29,I52:I64)+SUMIF($O$52:$O$64,Lister!$D$30,I52:I64)-SUMIFS(I52:I64,$O$52:$O$64,Lister!$D$29,$A$52:$A$64,Lister!$M$9)-SUMIFS(I52:I64,$O$52:$O$64,Lister!$D$30,$A$52:$A$64,Lister!$M$9)</f>
        <v>0</v>
      </c>
      <c r="Z73" s="146">
        <f>+SUMIF($O$52:$O$64,Lister!$D$29,J52:J64)+SUMIF($O$52:$O$64,Lister!$D$30,J52:J64)-SUMIFS(J52:J64,$O$52:$O$64,Lister!$D$29,$A$52:$A$64,Lister!$M$9)-SUMIFS(J52:J64,$O$52:$O$64,Lister!$D$30,$A$52:$A$64,Lister!$M$9)</f>
        <v>0</v>
      </c>
      <c r="AA73" s="146">
        <f>+SUMIF($O$52:$O$64,Lister!$D$29,K52:K64)+SUMIF($O$52:$O$64,Lister!$D$30,K52:K64)-SUMIFS(K52:K64,$O$52:$O$64,Lister!$D$29,$A$52:$A$64,Lister!$M$9)-SUMIFS(K52:K64,$O$52:$O$64,Lister!$D$30,$A$52:$A$64,Lister!$M$9)</f>
        <v>0</v>
      </c>
      <c r="AB73" s="146">
        <f>+SUMIF($O$52:$O$64,Lister!$D$29,L52:L64)+SUMIF($O$52:$O$64,Lister!$D$30,L52:L64)-SUMIFS(L52:L64,$O$52:$O$64,Lister!$D$29,$A$52:$A$64,Lister!$M$9)-SUMIFS(L52:L64,$O$52:$O$64,Lister!$D$30,$A$52:$A$64,Lister!$M$9)</f>
        <v>0</v>
      </c>
      <c r="AC73" s="147">
        <f t="shared" si="111"/>
        <v>0</v>
      </c>
      <c r="AF73" s="70"/>
      <c r="AG73" s="70"/>
      <c r="AH73" s="70"/>
      <c r="AI73" s="70"/>
      <c r="AJ73" s="70"/>
      <c r="AK73" s="70"/>
      <c r="AL73" s="70"/>
      <c r="AM73" s="70"/>
      <c r="AN73" s="70"/>
      <c r="AO73" s="70"/>
      <c r="AP73" s="70"/>
      <c r="AQ73" s="70"/>
      <c r="AR73" s="70"/>
      <c r="AS73" s="70"/>
    </row>
    <row r="74" spans="1:62" s="9" customFormat="1" ht="14.25" customHeight="1" x14ac:dyDescent="0.2">
      <c r="N74" s="79"/>
      <c r="O74" s="90"/>
      <c r="P74" s="90"/>
      <c r="Q74" s="158" t="s">
        <v>78</v>
      </c>
      <c r="R74" s="327">
        <f t="shared" si="110"/>
        <v>0</v>
      </c>
      <c r="S74" s="328">
        <f>+S72+S73</f>
        <v>0</v>
      </c>
      <c r="T74" s="328">
        <f>+T72+T73</f>
        <v>0</v>
      </c>
      <c r="U74" s="328">
        <f>+U72+U73</f>
        <v>0</v>
      </c>
      <c r="V74" s="328">
        <f t="shared" ref="V74:Z74" si="119">+V72+V73</f>
        <v>0</v>
      </c>
      <c r="W74" s="328">
        <f t="shared" si="119"/>
        <v>0</v>
      </c>
      <c r="X74" s="329">
        <f t="shared" si="119"/>
        <v>0</v>
      </c>
      <c r="Y74" s="311">
        <f t="shared" si="119"/>
        <v>0</v>
      </c>
      <c r="Z74" s="146">
        <f t="shared" si="119"/>
        <v>0</v>
      </c>
      <c r="AA74" s="146">
        <f t="shared" ref="AA74:AB74" si="120">+AA72+AA73</f>
        <v>0</v>
      </c>
      <c r="AB74" s="146">
        <f t="shared" si="120"/>
        <v>0</v>
      </c>
      <c r="AC74" s="147">
        <f t="shared" si="111"/>
        <v>0</v>
      </c>
      <c r="AF74" s="79"/>
      <c r="AG74" s="79"/>
      <c r="AH74" s="79"/>
      <c r="AI74" s="79"/>
      <c r="AJ74" s="79"/>
      <c r="AK74" s="79"/>
      <c r="AL74" s="79"/>
      <c r="AM74" s="79"/>
      <c r="AN74" s="79"/>
      <c r="AO74" s="79"/>
      <c r="AP74" s="79"/>
      <c r="AQ74" s="79"/>
      <c r="AR74" s="71"/>
      <c r="AS74" s="71"/>
    </row>
    <row r="75" spans="1:62" ht="14.25" customHeight="1" x14ac:dyDescent="0.2">
      <c r="N75" s="70"/>
      <c r="O75" s="85"/>
      <c r="P75" s="85"/>
      <c r="Q75" s="159" t="s">
        <v>0</v>
      </c>
      <c r="R75" s="327">
        <f t="shared" si="110"/>
        <v>0</v>
      </c>
      <c r="S75" s="162">
        <f>IF(C12=2,S72*C6/100,IF($G$6=Lister!$D$4,(S72*$C$6)/100,IF($G$6=Lister!$D$5,(S74*$C$6)/100,IF($G$6=Lister!$D$6,(S74-SUMIFS(C52:C64,$O$52:$O$64,Lister!$D$29,$A$52:$A$64,Lister!$M$10)-SUMIFS(C52:C64,$O$52:$O$64,Lister!$D$30,$A$52:$A$64,Lister!$M$10)*$C$6)/100,IF($G$6=Lister!$D$7,(S73*$C$6)/100,0)))))</f>
        <v>0</v>
      </c>
      <c r="T75" s="340">
        <f>IF(D12=2,T72*D6/100,IF($G$6=Lister!$D$4,(T72*$C$6)/100,IF($G$6=Lister!$D$5,(T74*$C$6)/100,IF($G$6=Lister!$D$6,(T74-SUMIFS(D52:D64,$O$52:$O$64,Lister!$D$29,$A$52:$A$64,Lister!$M$10)-SUMIFS(D52:D64,$O$52:$O$64,Lister!$D$30,$A$52:$A$64,Lister!$M$10)*$C$6)/100,IF($G$6=Lister!$D$7,(T73*$C$6)/100,0)))))</f>
        <v>0</v>
      </c>
      <c r="U75" s="340">
        <f>IF(E12=2,U72*E6/100,IF($G$6=Lister!$D$4,(U72*$C$6)/100,IF($G$6=Lister!$D$5,(U74*$C$6)/100,IF($G$6=Lister!$D$6,(U74-SUMIFS(E52:E64,$O$52:$O$64,Lister!$D$29,$A$52:$A$64,Lister!$M$10)-SUMIFS(E52:E64,$O$52:$O$64,Lister!$D$30,$A$52:$A$64,Lister!$M$10)*$C$6)/100,IF($G$6=Lister!$D$7,(U73*$C$6)/100,0)))))</f>
        <v>0</v>
      </c>
      <c r="V75" s="340">
        <f>IF(F12=2,V72*F6/100,IF($G$6=Lister!$D$4,(V72*$C$6)/100,IF($G$6=Lister!$D$5,(V74*$C$6)/100,IF($G$6=Lister!$D$6,(V74-SUMIFS(F52:F64,$O$52:$O$64,Lister!$D$29,$A$52:$A$64,Lister!$M$10)-SUMIFS(F52:F64,$O$52:$O$64,Lister!$D$30,$A$52:$A$64,Lister!$M$10)*$C$6)/100,IF($G$6=Lister!$D$7,(V73*$C$6)/100,0)))))</f>
        <v>0</v>
      </c>
      <c r="W75" s="340">
        <f>IF(G12=2,W72*G6/100,IF($G$6=Lister!$D$4,(W72*$C$6)/100,IF($G$6=Lister!$D$5,(W74*$C$6)/100,IF($G$6=Lister!$D$6,(W74-SUMIFS(G52:G64,$O$52:$O$64,Lister!$D$29,$A$52:$A$64,Lister!$M$10)-SUMIFS(G52:G64,$O$52:$O$64,Lister!$D$30,$A$52:$A$64,Lister!$M$10)*$C$6)/100,IF($G$6=Lister!$D$7,(W73*$C$6)/100,0)))))</f>
        <v>0</v>
      </c>
      <c r="X75" s="341">
        <f>IF(H12=2,X72*H6/100,IF($G$6=Lister!$D$4,(X72*$C$6)/100,IF($G$6=Lister!$D$5,(X74*$C$6)/100,IF($G$6=Lister!$D$6,(X74-SUMIFS(H52:H64,$O$52:$O$64,Lister!$D$29,$A$52:$A$64,Lister!$M$10)-SUMIFS(H52:H64,$O$52:$O$64,Lister!$D$30,$A$52:$A$64,Lister!$M$10)*$C$6)/100,IF($G$6=Lister!$D$7,(X73*$C$6)/100,0)))))</f>
        <v>0</v>
      </c>
      <c r="Y75" s="216">
        <f>IF(I12=2,Y72*I6/100,IF($G$6=Lister!$D$4,(Y72*$C$6)/100,IF($G$6=Lister!$D$5,(Y74*$C$6)/100,IF($G$6=Lister!$D$6,(Y74-SUMIFS(I52:I64,$O$52:$O$64,Lister!$D$29,$A$52:$A$64,Lister!$M$10)-SUMIFS(I52:I64,$O$52:$O$64,Lister!$D$30,$A$52:$A$64,Lister!$M$10)*$C$6)/100,IF($G$6=Lister!$D$7,(Y73*$C$6)/100,0)))))</f>
        <v>0</v>
      </c>
      <c r="Z75" s="215">
        <f>IF(J12=2,Z72*J6/100,IF($G$6=Lister!$D$4,(Z72*$C$6)/100,IF($G$6=Lister!$D$5,(Z74*$C$6)/100,IF($G$6=Lister!$D$6,(Z74-SUMIFS(J52:J64,$O$52:$O$64,Lister!$D$29,$A$52:$A$64,Lister!$M$10)-SUMIFS(J52:J64,$O$52:$O$64,Lister!$D$30,$A$52:$A$64,Lister!$M$10)*$C$6)/100,IF($G$6=Lister!$D$7,(Z73*$C$6)/100,0)))))</f>
        <v>0</v>
      </c>
      <c r="AA75" s="215">
        <f>IF(K12=2,AA72*K6/100,IF($G$6=Lister!$D$4,(AA72*$C$6)/100,IF($G$6=Lister!$D$5,(AA74*$C$6)/100,IF($G$6=Lister!$D$6,(AA74-SUMIFS(K52:K64,$O$52:$O$64,Lister!$D$29,$A$52:$A$64,Lister!$M$10)-SUMIFS(K52:K64,$O$52:$O$64,Lister!$D$30,$A$52:$A$64,Lister!$M$10)*$C$6)/100,IF($G$6=Lister!$D$7,(AA73*$C$6)/100,0)))))</f>
        <v>0</v>
      </c>
      <c r="AB75" s="215">
        <f>IF(L12=2,AB72*L6/100,IF($G$6=Lister!$D$4,(AB72*$C$6)/100,IF($G$6=Lister!$D$5,(AB74*$C$6)/100,IF($G$6=Lister!$D$6,(AB74-SUMIFS(L52:L64,$O$52:$O$64,Lister!$D$29,$A$52:$A$64,Lister!$M$10)-SUMIFS(L52:L64,$O$52:$O$64,Lister!$D$30,$A$52:$A$64,Lister!$M$10)*$C$6)/100,IF($G$6=Lister!$D$7,(AB73*$C$6)/100,0)))))</f>
        <v>0</v>
      </c>
      <c r="AC75" s="147">
        <f t="shared" si="111"/>
        <v>0</v>
      </c>
      <c r="AF75" s="70"/>
      <c r="AG75" s="70"/>
      <c r="AH75" s="70"/>
      <c r="AI75" s="70"/>
      <c r="AJ75" s="70"/>
      <c r="AK75" s="70"/>
      <c r="AL75" s="70"/>
      <c r="AM75" s="70"/>
      <c r="AN75" s="70"/>
      <c r="AO75" s="70"/>
      <c r="AP75" s="70"/>
      <c r="AQ75" s="70"/>
      <c r="AR75" s="70"/>
      <c r="AS75" s="70"/>
    </row>
    <row r="76" spans="1:62" s="9" customFormat="1" ht="14.25" customHeight="1" x14ac:dyDescent="0.2">
      <c r="N76" s="71"/>
      <c r="O76" s="87"/>
      <c r="P76" s="87"/>
      <c r="Q76" s="160" t="s">
        <v>103</v>
      </c>
      <c r="R76" s="327">
        <f t="shared" si="110"/>
        <v>0</v>
      </c>
      <c r="S76" s="162">
        <f>+IF($C$8=Lister!$O$5,(SUMIF($O$20:$O$29,Lister!D29,C20:C29)+SUMIF($O$20:$O$29,Lister!D30,C20:C29))*Takstblad!C$81,0)</f>
        <v>0</v>
      </c>
      <c r="T76" s="162">
        <f>+IF($C$8=Lister!$O$5,(SUMIF($O$20:$O$29,Lister!E27,D20:D29)+SUMIF($O$20:$O$29,Lister!E28,D20:D29))*Takstblad!D$81,0)</f>
        <v>0</v>
      </c>
      <c r="U76" s="162">
        <f>+IF($C$8=Lister!$O$5,(SUMIF($O$20:$O$29,Lister!F27,E20:E29)+SUMIF($O$20:$O$29,Lister!F28,E20:E29))*Takstblad!E$81,0)</f>
        <v>0</v>
      </c>
      <c r="V76" s="162">
        <f>+IF($C$8=Lister!$O$5,(SUMIF($O$20:$O$29,Lister!G27,F20:F29)+SUMIF($O$20:$O$29,Lister!G28,F20:F29))*Takstblad!F$81,0)</f>
        <v>0</v>
      </c>
      <c r="W76" s="162">
        <f>+IF($C$8=Lister!$O$5,(SUMIF($O$20:$O$29,Lister!H27,G20:G29)+SUMIF($O$20:$O$29,Lister!H28,G20:G29))*Takstblad!G$81,0)</f>
        <v>0</v>
      </c>
      <c r="X76" s="315">
        <f>+IF($C$8=Lister!$O$5,(SUMIF($O$20:$O$29,Lister!I27,H20:H29)+SUMIF($O$20:$O$29,Lister!I28,H20:H29))*Takstblad!H$81,0)</f>
        <v>0</v>
      </c>
      <c r="Y76" s="119">
        <f>+IF($C$8=Lister!$O$5,(SUMIF($O$20:$O$29,Lister!J27,I20:I29)+SUMIF($O$20:$O$29,Lister!J28,I20:I29))*Takstblad!I$81,0)</f>
        <v>0</v>
      </c>
      <c r="Z76" s="21">
        <f>+IF($C$8=Lister!$O$5,(SUMIF($O$20:$O$29,Lister!K27,J20:J29)+SUMIF($O$20:$O$29,Lister!K28,J20:J29))*Takstblad!J$81,0)</f>
        <v>0</v>
      </c>
      <c r="AA76" s="21">
        <f>+IF($C$8=Lister!$O$5,(SUMIF($O$20:$O$29,Lister!L27,K20:K29)+SUMIF($O$20:$O$29,Lister!L28,K20:K29))*Takstblad!K$81,0)</f>
        <v>0</v>
      </c>
      <c r="AB76" s="21">
        <f>+IF($C$8=Lister!$O$5,(SUMIF($O$20:$O$29,Lister!M27,L20:L29)+SUMIF($O$20:$O$29,Lister!M28,L20:L29))*Takstblad!L$81,0)</f>
        <v>0</v>
      </c>
      <c r="AC76" s="147">
        <f t="shared" si="111"/>
        <v>0</v>
      </c>
      <c r="AF76" s="71"/>
      <c r="AG76" s="71"/>
      <c r="AH76" s="71"/>
      <c r="AI76" s="71"/>
      <c r="AJ76" s="71"/>
      <c r="AK76" s="71"/>
      <c r="AL76" s="71"/>
      <c r="AM76" s="71"/>
      <c r="AN76" s="71"/>
      <c r="AO76" s="71"/>
      <c r="AP76" s="71"/>
      <c r="AQ76" s="71"/>
      <c r="AR76" s="71"/>
      <c r="AS76" s="71"/>
    </row>
    <row r="77" spans="1:62" s="9" customFormat="1" ht="14.25" customHeight="1" x14ac:dyDescent="0.2">
      <c r="N77" s="70"/>
      <c r="O77" s="85"/>
      <c r="P77" s="85"/>
      <c r="Q77" s="160" t="s">
        <v>108</v>
      </c>
      <c r="R77" s="327">
        <f t="shared" si="110"/>
        <v>0</v>
      </c>
      <c r="S7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$29,$A$20:$A$29,Lister!$A$21)+SUMIFS(C20:C29,$O$20:$O$29,Lister!$D$29,$A$20:$A$29,Lister!$A$29)+SUMIFS(C20:C29,$O$20:$O$29,Lister!$D$29,$A$20:$A$29,Lister!$A$30)+SUMIFS(C20:C29,$O$20:$O$29,Lister!$D$29,$A$20:$A$29,Lister!$A$22)+SUMIFS(C20:C29,$O$20:$O$29,Lister!$D$29,$A$20:$A$29,Lister!$A$23)+SUMIFS(C20:C29,$O$20:$O$29,Lister!$D$29,$A$20:$A$29,Lister!$A$20))/12)*Takstblad!C$82,0)</f>
        <v>0</v>
      </c>
      <c r="T7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$29,$A$20:$A$29,Lister!$A$21)+SUMIFS(D20:D29,$O$20:$O$29,Lister!$D$29,$A$20:$A$29,Lister!$A$29)+SUMIFS(D20:D29,$O$20:$O$29,Lister!$D$29,$A$20:$A$29,Lister!$A$30)+SUMIFS(D20:D29,$O$20:$O$29,Lister!$D$29,$A$20:$A$29,Lister!$A$22)+SUMIFS(D20:D29,$O$20:$O$29,Lister!$D$29,$A$20:$A$29,Lister!$A$23)+SUMIFS(D20:D29,$O$20:$O$29,Lister!$D$29,$A$20:$A$29,Lister!$A$20))/12)*Takstblad!D$82,0)</f>
        <v>0</v>
      </c>
      <c r="U7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$29,$A$20:$A$29,Lister!$A$21)+SUMIFS(E20:E29,$O$20:$O$29,Lister!$D$29,$A$20:$A$29,Lister!$A$29)+SUMIFS(E20:E29,$O$20:$O$29,Lister!$D$29,$A$20:$A$29,Lister!$A$30)+SUMIFS(E20:E29,$O$20:$O$29,Lister!$D$29,$A$20:$A$29,Lister!$A$22)+SUMIFS(E20:E29,$O$20:$O$29,Lister!$D$29,$A$20:$A$29,Lister!$A$23)+SUMIFS(E20:E29,$O$20:$O$29,Lister!$D$29,$A$20:$A$29,Lister!$A$20))/12)*Takstblad!E$82,0)</f>
        <v>0</v>
      </c>
      <c r="V7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$29,$A$20:$A$29,Lister!$A$21)+SUMIFS(F20:F29,$O$20:$O$29,Lister!$D$29,$A$20:$A$29,Lister!$A$29)+SUMIFS(F20:F29,$O$20:$O$29,Lister!$D$29,$A$20:$A$29,Lister!$A$30)+SUMIFS(F20:F29,$O$20:$O$29,Lister!$D$29,$A$20:$A$29,Lister!$A$22)+SUMIFS(F20:F29,$O$20:$O$29,Lister!$D$29,$A$20:$A$29,Lister!$A$23)+SUMIFS(F20:F29,$O$20:$O$29,Lister!$D$29,$A$20:$A$29,Lister!$A$20))/12)*Takstblad!F$82,0)</f>
        <v>0</v>
      </c>
      <c r="W7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$29,$A$20:$A$29,Lister!$A$21)+SUMIFS(G20:G29,$O$20:$O$29,Lister!$D$29,$A$20:$A$29,Lister!$A$29)+SUMIFS(G20:G29,$O$20:$O$29,Lister!$D$29,$A$20:$A$29,Lister!$A$30)+SUMIFS(G20:G29,$O$20:$O$29,Lister!$D$29,$A$20:$A$29,Lister!$A$22)+SUMIFS(G20:G29,$O$20:$O$29,Lister!$D$29,$A$20:$A$29,Lister!$A$23)+SUMIFS(G20:G29,$O$20:$O$29,Lister!$D$29,$A$20:$A$29,Lister!$A$20))/12)*Takstblad!G$82,0)</f>
        <v>0</v>
      </c>
      <c r="X77"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$29,$A$20:$A$29,Lister!$A$21)+SUMIFS(H20:H29,$O$20:$O$29,Lister!$D$29,$A$20:$A$29,Lister!$A$29)+SUMIFS(H20:H29,$O$20:$O$29,Lister!$D$29,$A$20:$A$29,Lister!$A$30)+SUMIFS(H20:H29,$O$20:$O$29,Lister!$D$29,$A$20:$A$29,Lister!$A$22)+SUMIFS(H20:H29,$O$20:$O$29,Lister!$D$29,$A$20:$A$29,Lister!$A$23)+SUMIFS(H20:H29,$O$20:$O$29,Lister!$D$29,$A$20:$A$29,Lister!$A$20))/12)*Takstblad!H$82,0)</f>
        <v>0</v>
      </c>
      <c r="Y7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$29,$A$20:$A$29,Lister!$A$21)+SUMIFS(I20:I29,$O$20:$O$29,Lister!$D$29,$A$20:$A$29,Lister!$A$29)+SUMIFS(I20:I29,$O$20:$O$29,Lister!$D$29,$A$20:$A$29,Lister!$A$30)+SUMIFS(I20:I29,$O$20:$O$29,Lister!$D$29,$A$20:$A$29,Lister!$A$22)+SUMIFS(I20:I29,$O$20:$O$29,Lister!$D$29,$A$20:$A$29,Lister!$A$23)+SUMIFS(I20:I29,$O$20:$O$29,Lister!$D$29,$A$20:$A$29,Lister!$A$20))/12)*Takstblad!I$82,0)</f>
        <v>0</v>
      </c>
      <c r="Z7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$29,$A$20:$A$29,Lister!$A$21)+SUMIFS(J20:J29,$O$20:$O$29,Lister!$D$29,$A$20:$A$29,Lister!$A$29)+SUMIFS(J20:J29,$O$20:$O$29,Lister!$D$29,$A$20:$A$29,Lister!$A$30)+SUMIFS(J20:J29,$O$20:$O$29,Lister!$D$29,$A$20:$A$29,Lister!$A$22)+SUMIFS(J20:J29,$O$20:$O$29,Lister!$D$29,$A$20:$A$29,Lister!$A$23)+SUMIFS(J20:J29,$O$20:$O$29,Lister!$D$29,$A$20:$A$29,Lister!$A$20))/12)*Takstblad!J$82,0)</f>
        <v>0</v>
      </c>
      <c r="AA7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$29,$A$20:$A$29,Lister!$A$21)+SUMIFS(K20:K29,$O$20:$O$29,Lister!$D$29,$A$20:$A$29,Lister!$A$29)+SUMIFS(K20:K29,$O$20:$O$29,Lister!$D$29,$A$20:$A$29,Lister!$A$30)+SUMIFS(K20:K29,$O$20:$O$29,Lister!$D$29,$A$20:$A$29,Lister!$A$22)+SUMIFS(K20:K29,$O$20:$O$29,Lister!$D$29,$A$20:$A$29,Lister!$A$23)+SUMIFS(K20:K29,$O$20:$O$29,Lister!$D$29,$A$20:$A$29,Lister!$A$20))/12)*Takstblad!K$82,0)</f>
        <v>0</v>
      </c>
      <c r="AB7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$29,$A$20:$A$29,Lister!$A$21)+SUMIFS(L20:L29,$O$20:$O$29,Lister!$D$29,$A$20:$A$29,Lister!$A$29)+SUMIFS(L20:L29,$O$20:$O$29,Lister!$D$29,$A$20:$A$29,Lister!$A$30)+SUMIFS(L20:L29,$O$20:$O$29,Lister!$D$29,$A$20:$A$29,Lister!$A$22)+SUMIFS(L20:L29,$O$20:$O$29,Lister!$D$29,$A$20:$A$29,Lister!$A$23)+SUMIFS(L20:L29,$O$20:$O$29,Lister!$D$29,$A$20:$A$29,Lister!$A$20))/12)*Takstblad!L$82,0)</f>
        <v>0</v>
      </c>
      <c r="AC77" s="147">
        <f t="shared" si="111"/>
        <v>0</v>
      </c>
      <c r="AF77" s="70"/>
      <c r="AG77" s="70"/>
      <c r="AH77" s="70"/>
      <c r="AI77" s="70"/>
      <c r="AJ77" s="70"/>
      <c r="AK77" s="70"/>
      <c r="AL77" s="70"/>
      <c r="AM77" s="70"/>
      <c r="AN77" s="70"/>
      <c r="AO77" s="70"/>
      <c r="AP77" s="70"/>
      <c r="AQ77" s="70"/>
      <c r="AR77" s="71"/>
      <c r="AS77" s="71"/>
    </row>
    <row r="78" spans="1:62" ht="14.25" customHeight="1" x14ac:dyDescent="0.2">
      <c r="N78" s="71"/>
      <c r="O78" s="87"/>
      <c r="P78" s="87"/>
      <c r="Q78" s="159" t="s">
        <v>545</v>
      </c>
      <c r="R78" s="327">
        <f t="shared" si="110"/>
        <v>0</v>
      </c>
      <c r="S78" s="162" t="str">
        <f>IF($C$12=2,(SUM(S74:S77)*$C$13)/100,"0")</f>
        <v>0</v>
      </c>
      <c r="T78" s="234" t="str">
        <f t="shared" ref="T78:Z78" si="121">IF($C$12=2,(SUM(T74:T77)*$C$13)/100,"0")</f>
        <v>0</v>
      </c>
      <c r="U78" s="234" t="str">
        <f t="shared" si="121"/>
        <v>0</v>
      </c>
      <c r="V78" s="234" t="str">
        <f t="shared" si="121"/>
        <v>0</v>
      </c>
      <c r="W78" s="234" t="str">
        <f t="shared" si="121"/>
        <v>0</v>
      </c>
      <c r="X78" s="321" t="str">
        <f t="shared" si="121"/>
        <v>0</v>
      </c>
      <c r="Y78" s="235" t="str">
        <f t="shared" si="121"/>
        <v>0</v>
      </c>
      <c r="Z78" s="234" t="str">
        <f t="shared" si="121"/>
        <v>0</v>
      </c>
      <c r="AA78" s="234" t="str">
        <f t="shared" ref="AA78:AB78" si="122">IF($C$12=2,(SUM(AA74:AA77)*$C$13)/100,"0")</f>
        <v>0</v>
      </c>
      <c r="AB78" s="234" t="str">
        <f t="shared" si="122"/>
        <v>0</v>
      </c>
      <c r="AC78" s="147">
        <f t="shared" si="111"/>
        <v>0</v>
      </c>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row>
    <row r="79" spans="1:62" ht="14.25" customHeight="1" x14ac:dyDescent="0.2">
      <c r="N79" s="80"/>
      <c r="O79" s="91"/>
      <c r="P79" s="91"/>
      <c r="Q79" s="158" t="s">
        <v>101</v>
      </c>
      <c r="R79" s="327">
        <f t="shared" si="110"/>
        <v>0</v>
      </c>
      <c r="S79" s="328">
        <f>+SUM(S74:S78)</f>
        <v>0</v>
      </c>
      <c r="T79" s="328">
        <f t="shared" ref="T79:Z79" si="123">+SUM(T74:T78)</f>
        <v>0</v>
      </c>
      <c r="U79" s="328">
        <f t="shared" si="123"/>
        <v>0</v>
      </c>
      <c r="V79" s="328">
        <f t="shared" si="123"/>
        <v>0</v>
      </c>
      <c r="W79" s="328">
        <f t="shared" si="123"/>
        <v>0</v>
      </c>
      <c r="X79" s="329">
        <f t="shared" si="123"/>
        <v>0</v>
      </c>
      <c r="Y79" s="311">
        <f t="shared" si="123"/>
        <v>0</v>
      </c>
      <c r="Z79" s="146">
        <f t="shared" si="123"/>
        <v>0</v>
      </c>
      <c r="AA79" s="146">
        <f t="shared" ref="AA79:AB79" si="124">+SUM(AA74:AA78)</f>
        <v>0</v>
      </c>
      <c r="AB79" s="146">
        <f t="shared" si="124"/>
        <v>0</v>
      </c>
      <c r="AC79" s="147">
        <f t="shared" si="111"/>
        <v>0</v>
      </c>
      <c r="AF79" s="70"/>
      <c r="AG79" s="70"/>
      <c r="AH79" s="70"/>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row>
    <row r="80" spans="1:62" ht="14.25" customHeight="1" x14ac:dyDescent="0.2">
      <c r="N80" s="81"/>
      <c r="O80" s="92"/>
      <c r="P80" s="92"/>
      <c r="Q80" s="141"/>
      <c r="R80" s="135"/>
      <c r="S80" s="16"/>
      <c r="T80" s="125"/>
      <c r="U80" s="125"/>
      <c r="V80" s="125"/>
      <c r="W80" s="125"/>
      <c r="X80" s="322"/>
      <c r="Y80" s="125"/>
      <c r="Z80" s="125"/>
      <c r="AA80" s="125"/>
      <c r="AB80" s="125"/>
      <c r="AC80" s="135"/>
      <c r="AF80" s="71"/>
      <c r="AG80" s="71"/>
      <c r="AH80" s="71"/>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row>
    <row r="81" spans="1:62" s="9" customFormat="1" ht="14.25" customHeight="1" x14ac:dyDescent="0.25">
      <c r="N81" s="81"/>
      <c r="O81" s="92"/>
      <c r="P81" s="92"/>
      <c r="Q81" s="139" t="s">
        <v>606</v>
      </c>
      <c r="R81" s="140"/>
      <c r="S81" s="241"/>
      <c r="T81" s="145"/>
      <c r="U81" s="145"/>
      <c r="V81" s="145"/>
      <c r="W81" s="145"/>
      <c r="X81" s="320"/>
      <c r="Y81" s="145"/>
      <c r="Z81" s="145"/>
      <c r="AA81" s="145"/>
      <c r="AB81" s="145"/>
      <c r="AC81" s="140"/>
      <c r="AF81" s="71"/>
      <c r="AG81" s="71"/>
      <c r="AH81" s="71"/>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row>
    <row r="82" spans="1:62" s="9" customFormat="1" ht="14.25" customHeight="1" x14ac:dyDescent="0.25">
      <c r="N82" s="70"/>
      <c r="O82" s="85"/>
      <c r="P82" s="85"/>
      <c r="Q82" s="143"/>
      <c r="R82" s="142"/>
      <c r="S82" s="16"/>
      <c r="T82" s="76"/>
      <c r="U82" s="76"/>
      <c r="V82" s="76"/>
      <c r="W82" s="76"/>
      <c r="X82" s="142"/>
      <c r="Y82" s="76"/>
      <c r="Z82" s="76"/>
      <c r="AA82" s="76"/>
      <c r="AB82" s="76"/>
      <c r="AC82" s="142"/>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row>
    <row r="83" spans="1:62" s="9" customFormat="1" ht="14.25" customHeight="1" x14ac:dyDescent="0.2">
      <c r="A83" s="23"/>
      <c r="B83" s="16"/>
      <c r="C83" s="16"/>
      <c r="D83" s="71"/>
      <c r="E83" s="71"/>
      <c r="F83" s="71"/>
      <c r="G83" s="71"/>
      <c r="H83" s="71"/>
      <c r="I83" s="71"/>
      <c r="J83" s="71"/>
      <c r="K83" s="71"/>
      <c r="L83" s="71"/>
      <c r="M83" s="71"/>
      <c r="N83" s="71"/>
      <c r="O83" s="87"/>
      <c r="P83" s="87"/>
      <c r="Q83" s="161" t="s">
        <v>22</v>
      </c>
      <c r="R83" s="133" t="s">
        <v>34</v>
      </c>
      <c r="S83" s="45">
        <f>+S69</f>
        <v>2025</v>
      </c>
      <c r="T83" s="8">
        <f t="shared" ref="T83:Z83" si="125">+T69</f>
        <v>2026</v>
      </c>
      <c r="U83" s="8">
        <f t="shared" si="125"/>
        <v>2027</v>
      </c>
      <c r="V83" s="8">
        <f t="shared" si="125"/>
        <v>2028</v>
      </c>
      <c r="W83" s="8">
        <f t="shared" si="125"/>
        <v>2029</v>
      </c>
      <c r="X83" s="133">
        <f t="shared" si="125"/>
        <v>2030</v>
      </c>
      <c r="Y83" s="8">
        <f t="shared" si="125"/>
        <v>2031</v>
      </c>
      <c r="Z83" s="8">
        <f t="shared" si="125"/>
        <v>2032</v>
      </c>
      <c r="AA83" s="8">
        <f t="shared" ref="AA83:AB83" si="126">+AA69</f>
        <v>2033</v>
      </c>
      <c r="AB83" s="8">
        <f t="shared" si="126"/>
        <v>2034</v>
      </c>
      <c r="AC83" s="133" t="s">
        <v>34</v>
      </c>
      <c r="AF83" s="70"/>
      <c r="AG83" s="70"/>
      <c r="AH83" s="70"/>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62" s="9" customFormat="1" ht="14.25" customHeight="1" x14ac:dyDescent="0.2">
      <c r="N84" s="71"/>
      <c r="O84" s="87"/>
      <c r="P84" s="87"/>
      <c r="Q84" s="156" t="s">
        <v>74</v>
      </c>
      <c r="R84" s="330">
        <f t="shared" ref="R84:R93" si="127">+AC84</f>
        <v>0</v>
      </c>
      <c r="S84" s="331">
        <f>+SUMIF($O$20:$O$29,Lister!$D$31,S20:S29)+SUMIF($O$20:$O$29,Lister!$D$32,S20:S29)</f>
        <v>0</v>
      </c>
      <c r="T84" s="334">
        <f>+SUMIF($O$20:$O$29,Lister!$D$31,T20:T29)+SUMIF($O$20:$O$29,Lister!$D$32,T20:T29)</f>
        <v>0</v>
      </c>
      <c r="U84" s="331">
        <f>+SUMIF($O$20:$O$29,Lister!$D$31,U20:U29)+SUMIF($O$20:$O$29,Lister!$D$32,U20:U29)</f>
        <v>0</v>
      </c>
      <c r="V84" s="334">
        <f>+SUMIF($O$20:$O$29,Lister!$D$31,V20:V29)+SUMIF($O$20:$O$29,Lister!$D$32,V20:V29)</f>
        <v>0</v>
      </c>
      <c r="W84" s="331">
        <f>+SUMIF($O$20:$O$29,Lister!$D$31,W20:W29)+SUMIF($O$20:$O$29,Lister!$D$32,W20:W29)</f>
        <v>0</v>
      </c>
      <c r="X84" s="335">
        <f>+SUMIF($O$20:$O$29,Lister!$D$31,X20:X29)+SUMIF($O$20:$O$29,Lister!$D$32,X20:X29)</f>
        <v>0</v>
      </c>
      <c r="Y84" s="309">
        <f>+SUMIF($O$20:$O$29,Lister!$D$31,Y20:Y29)+SUMIF($O$20:$O$29,Lister!$D$32,Y20:Y29)</f>
        <v>0</v>
      </c>
      <c r="Z84" s="28">
        <f>+SUMIF($O$20:$O$29,Lister!$D$31,Z20:Z29)+SUMIF($O$20:$O$29,Lister!$D$32,Z20:Z29)</f>
        <v>0</v>
      </c>
      <c r="AA84" s="28">
        <f>+SUMIF($O$20:$O$29,Lister!$D$31,AA20:AA29)+SUMIF($O$20:$O$29,Lister!$D$32,AA20:AA29)</f>
        <v>0</v>
      </c>
      <c r="AB84" s="28">
        <f>+SUMIF($O$20:$O$29,Lister!$D$31,AB20:AB29)+SUMIF($O$20:$O$29,Lister!$D$32,AB20:AB29)</f>
        <v>0</v>
      </c>
      <c r="AC84" s="149">
        <f>SUM(S84:AB84)</f>
        <v>0</v>
      </c>
      <c r="AF84" s="70"/>
      <c r="AG84" s="70"/>
      <c r="AH84" s="70"/>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row>
    <row r="85" spans="1:62" s="9" customFormat="1" ht="14.25" customHeight="1" x14ac:dyDescent="0.2">
      <c r="N85" s="71"/>
      <c r="O85" s="87"/>
      <c r="P85" s="87"/>
      <c r="Q85" s="157" t="s">
        <v>75</v>
      </c>
      <c r="R85" s="324">
        <f t="shared" si="127"/>
        <v>0</v>
      </c>
      <c r="S85" s="325">
        <f>+SUMIF($O$33:$O$45,Lister!$D$31,S33:S45)+SUMIF($O$33:$O$45,Lister!$D$32,S33:S45)</f>
        <v>0</v>
      </c>
      <c r="T85" s="336">
        <f>+SUMIF($O$33:$O$45,Lister!$D$31,T33:T45)+SUMIF($O$33:$O$45,Lister!$D$32,T33:T45)</f>
        <v>0</v>
      </c>
      <c r="U85" s="325">
        <f>+SUMIF($O$33:$O$45,Lister!$D$31,U33:U45)+SUMIF($O$33:$O$45,Lister!$D$32,U33:U45)</f>
        <v>0</v>
      </c>
      <c r="V85" s="336">
        <f>+SUMIF($O$33:$O$45,Lister!$D$31,V33:V45)+SUMIF($O$33:$O$45,Lister!$D$32,V33:V45)</f>
        <v>0</v>
      </c>
      <c r="W85" s="325">
        <f>+SUMIF($O$33:$O$45,Lister!$D$31,W33:W45)+SUMIF($O$33:$O$45,Lister!$D$32,W33:W45)</f>
        <v>0</v>
      </c>
      <c r="X85" s="337">
        <f>+SUMIF($O$33:$O$45,Lister!$D$31,X33:X45)+SUMIF($O$33:$O$45,Lister!$D$32,X33:X45)</f>
        <v>0</v>
      </c>
      <c r="Y85" s="310">
        <f>+SUMIF($O$33:$O$45,Lister!$D$31,Y33:Y45)+SUMIF($O$33:$O$45,Lister!$D$32,Y33:Y45)</f>
        <v>0</v>
      </c>
      <c r="Z85" s="122">
        <f>+SUMIF($O$33:$O$45,Lister!$D$31,Z33:Z45)+SUMIF($O$33:$O$45,Lister!$D$32,Z33:Z45)</f>
        <v>0</v>
      </c>
      <c r="AA85" s="122">
        <f>+SUMIF($O$33:$O$45,Lister!$D$31,AA33:AA45)+SUMIF($O$33:$O$45,Lister!$D$32,AA33:AA45)</f>
        <v>0</v>
      </c>
      <c r="AB85" s="122">
        <f>+SUMIF($O$33:$O$45,Lister!$D$31,AB33:AB45)+SUMIF($O$33:$O$45,Lister!$D$32,AB33:AB45)</f>
        <v>0</v>
      </c>
      <c r="AC85" s="150">
        <f t="shared" ref="AC85:AC93" si="128">SUM(S85:AB85)</f>
        <v>0</v>
      </c>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row>
    <row r="86" spans="1:62" ht="14.25" customHeight="1" x14ac:dyDescent="0.2">
      <c r="N86" s="71"/>
      <c r="O86" s="87"/>
      <c r="P86" s="87"/>
      <c r="Q86" s="158" t="s">
        <v>76</v>
      </c>
      <c r="R86" s="327">
        <f t="shared" si="127"/>
        <v>0</v>
      </c>
      <c r="S86" s="328">
        <f>+SUM(S84:S85)</f>
        <v>0</v>
      </c>
      <c r="T86" s="328">
        <f t="shared" ref="T86" si="129">+SUM(T84:T85)</f>
        <v>0</v>
      </c>
      <c r="U86" s="328">
        <f t="shared" ref="U86:Z86" si="130">+SUM(U84:U85)</f>
        <v>0</v>
      </c>
      <c r="V86" s="328">
        <f t="shared" si="130"/>
        <v>0</v>
      </c>
      <c r="W86" s="328">
        <f t="shared" si="130"/>
        <v>0</v>
      </c>
      <c r="X86" s="329">
        <f t="shared" si="130"/>
        <v>0</v>
      </c>
      <c r="Y86" s="151">
        <f t="shared" si="130"/>
        <v>0</v>
      </c>
      <c r="Z86" s="146">
        <f t="shared" si="130"/>
        <v>0</v>
      </c>
      <c r="AA86" s="146">
        <f t="shared" ref="AA86:AB86" si="131">+SUM(AA84:AA85)</f>
        <v>0</v>
      </c>
      <c r="AB86" s="146">
        <f t="shared" si="131"/>
        <v>0</v>
      </c>
      <c r="AC86" s="147">
        <f t="shared" si="128"/>
        <v>0</v>
      </c>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row>
    <row r="87" spans="1:62" s="14" customFormat="1" ht="14.25" customHeight="1" x14ac:dyDescent="0.2">
      <c r="N87" s="71"/>
      <c r="O87" s="87"/>
      <c r="P87" s="87"/>
      <c r="Q87" s="158" t="s">
        <v>77</v>
      </c>
      <c r="R87" s="327">
        <f t="shared" si="127"/>
        <v>0</v>
      </c>
      <c r="S87" s="328">
        <f>+SUMIF($O$52:$O$64,Lister!$D$31,C52:C64)+SUMIF($O$52:$O$64,Lister!$D$32,C52:C64)-SUMIFS(C52:C64,$O$52:$O$64,Lister!$D$31,$A$52:$A$64,Lister!$M$9)-SUMIFS(C52:C64,$O$52:$O$64,Lister!$D$32,$A$52:$A$64,Lister!$M$9)</f>
        <v>0</v>
      </c>
      <c r="T87" s="344">
        <f>+SUMIF($O$52:$O$64,Lister!$D$31,D52:D64)+SUMIF($O$52:$O$64,Lister!$D$32,D52:D64)-SUMIFS(D52:D64,$O$52:$O$64,Lister!$D$31,$A$52:$A$64,Lister!$M$9)-SUMIFS(D52:D64,$O$52:$O$64,Lister!$D$32,$A$52:$A$64,Lister!$M$9)</f>
        <v>0</v>
      </c>
      <c r="U87" s="344">
        <f>+SUMIF($O$52:$O$64,Lister!$D$31,E52:E64)+SUMIF($O$52:$O$64,Lister!$D$32,E52:E64)-SUMIFS(E52:E64,$O$52:$O$64,Lister!$D$31,$A$52:$A$64,Lister!$M$9)-SUMIFS(E52:E64,$O$52:$O$64,Lister!$D$32,$A$52:$A$64,Lister!$M$9)</f>
        <v>0</v>
      </c>
      <c r="V87" s="344">
        <f>+SUMIF($O$52:$O$64,Lister!$D$31,F52:F64)+SUMIF($O$52:$O$64,Lister!$D$32,F52:F64)-SUMIFS(F52:F64,$O$52:$O$64,Lister!$D$31,$A$52:$A$64,Lister!$M$9)-SUMIFS(F52:F64,$O$52:$O$64,Lister!$D$32,$A$52:$A$64,Lister!$M$9)</f>
        <v>0</v>
      </c>
      <c r="W87" s="344">
        <f>+SUMIF($O$52:$O$64,Lister!$D$31,G52:G64)+SUMIF($O$52:$O$64,Lister!$D$32,G52:G64)-SUMIFS(G52:G64,$O$52:$O$64,Lister!$D$31,$A$52:$A$64,Lister!$M$9)-SUMIFS(G52:G64,$O$52:$O$64,Lister!$D$32,$A$52:$A$64,Lister!$M$9)</f>
        <v>0</v>
      </c>
      <c r="X87" s="345">
        <f>+SUMIF($O$52:$O$64,Lister!$D$31,H52:H64)+SUMIF($O$52:$O$64,Lister!$D$32,H52:H64)-SUMIFS(H52:H64,$O$52:$O$64,Lister!$D$31,$A$52:$A$64,Lister!$M$9)-SUMIFS(H52:H64,$O$52:$O$64,Lister!$D$32,$A$52:$A$64,Lister!$M$9)</f>
        <v>0</v>
      </c>
      <c r="Y87" s="220">
        <f>+SUMIF($O$52:$O$64,Lister!$D$31,I52:I64)+SUMIF($O$52:$O$64,Lister!$D$32,I52:I64)-SUMIFS(I52:I64,$O$52:$O$64,Lister!$D$31,$A$52:$A$64,Lister!$M$9)-SUMIFS(I52:I64,$O$52:$O$64,Lister!$D$32,$A$52:$A$64,Lister!$M$9)</f>
        <v>0</v>
      </c>
      <c r="Z87" s="219">
        <f>+SUMIF($O$52:$O$64,Lister!$D$31,J52:J64)+SUMIF($O$52:$O$64,Lister!$D$32,J52:J64)-SUMIFS(J52:J64,$O$52:$O$64,Lister!$D$31,$A$52:$A$64,Lister!$M$9)-SUMIFS(J52:J64,$O$52:$O$64,Lister!$D$32,$A$52:$A$64,Lister!$M$9)</f>
        <v>0</v>
      </c>
      <c r="AA87" s="219">
        <f>+SUMIF($O$52:$O$64,Lister!$D$31,K52:K64)+SUMIF($O$52:$O$64,Lister!$D$32,K52:K64)-SUMIFS(K52:K64,$O$52:$O$64,Lister!$D$31,$A$52:$A$64,Lister!$M$9)-SUMIFS(K52:K64,$O$52:$O$64,Lister!$D$32,$A$52:$A$64,Lister!$M$9)</f>
        <v>0</v>
      </c>
      <c r="AB87" s="219">
        <f>+SUMIF($O$52:$O$64,Lister!$D$31,L52:L64)+SUMIF($O$52:$O$64,Lister!$D$32,L52:L64)-SUMIFS(L52:L64,$O$52:$O$64,Lister!$D$31,$A$52:$A$64,Lister!$M$9)-SUMIFS(L52:L64,$O$52:$O$64,Lister!$D$32,$A$52:$A$64,Lister!$M$9)</f>
        <v>0</v>
      </c>
      <c r="AC87" s="147">
        <f t="shared" si="128"/>
        <v>0</v>
      </c>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row>
    <row r="88" spans="1:62" s="9" customFormat="1" ht="14.25" customHeight="1" x14ac:dyDescent="0.2">
      <c r="N88" s="70"/>
      <c r="O88" s="85"/>
      <c r="P88" s="85"/>
      <c r="Q88" s="158" t="s">
        <v>78</v>
      </c>
      <c r="R88" s="327">
        <f t="shared" si="127"/>
        <v>0</v>
      </c>
      <c r="S88" s="328">
        <f>+S87+S86</f>
        <v>0</v>
      </c>
      <c r="T88" s="346">
        <f t="shared" ref="T88:Z88" si="132">+T87+T86</f>
        <v>0</v>
      </c>
      <c r="U88" s="346">
        <f t="shared" si="132"/>
        <v>0</v>
      </c>
      <c r="V88" s="346">
        <f t="shared" si="132"/>
        <v>0</v>
      </c>
      <c r="W88" s="346">
        <f t="shared" si="132"/>
        <v>0</v>
      </c>
      <c r="X88" s="347">
        <f t="shared" si="132"/>
        <v>0</v>
      </c>
      <c r="Y88" s="155">
        <f t="shared" si="132"/>
        <v>0</v>
      </c>
      <c r="Z88" s="154">
        <f t="shared" si="132"/>
        <v>0</v>
      </c>
      <c r="AA88" s="154">
        <f t="shared" ref="AA88:AB88" si="133">+AA87+AA86</f>
        <v>0</v>
      </c>
      <c r="AB88" s="154">
        <f t="shared" si="133"/>
        <v>0</v>
      </c>
      <c r="AC88" s="147">
        <f t="shared" si="128"/>
        <v>0</v>
      </c>
      <c r="AF88" s="71"/>
      <c r="AG88" s="71"/>
      <c r="AH88" s="71"/>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row>
    <row r="89" spans="1:62" s="9" customFormat="1" ht="14.25" customHeight="1" x14ac:dyDescent="0.2">
      <c r="N89" s="79"/>
      <c r="O89" s="90"/>
      <c r="P89" s="90"/>
      <c r="Q89" s="159" t="s">
        <v>0</v>
      </c>
      <c r="R89" s="327">
        <f t="shared" si="127"/>
        <v>0</v>
      </c>
      <c r="S89" s="162">
        <f>IF(C12=2,S86*C6/100,IF($G$6=Lister!$D$4,(S86*$C$6)/100,IF($G$6=Lister!$D$5,(S88*$C$6)/100,IF($G$6=Lister!$D$6,((S88-SUMIFS(C52:C64,$O$52:$O$64,Lister!$D$31,$A$52:$A$64,Lister!$M$10)-SUMIFS(C52:C64,$O$52:$O$64,Lister!$D$32,$A$52:$A$64,Lister!$M$10))*$C$6)/100,IF($G$6=Lister!$D$7,(S87*$C$6)/100,0)))))</f>
        <v>0</v>
      </c>
      <c r="T89" s="340">
        <f>IF(D12=2,T86*D6/100,IF($G$6=Lister!$D$4,(T86*$C$6)/100,IF($G$6=Lister!$D$5,(T88*$C$6)/100,IF($G$6=Lister!$D$6,((T88-SUMIFS(D52:D64,$O$52:$O$64,Lister!$D$31,$A$52:$A$64,Lister!$M$10)-SUMIFS(D52:D64,$O$52:$O$64,Lister!$D$32,$A$52:$A$64,Lister!$M$10))*$C$6)/100,IF($G$6=Lister!$D$7,(T87*$C$6)/100,0)))))</f>
        <v>0</v>
      </c>
      <c r="U89" s="340">
        <f>IF(E12=2,U86*E6/100,IF($G$6=Lister!$D$4,(U86*$C$6)/100,IF($G$6=Lister!$D$5,(U88*$C$6)/100,IF($G$6=Lister!$D$6,((U88-SUMIFS(E52:E64,$O$52:$O$64,Lister!$D$31,$A$52:$A$64,Lister!$M$10)-SUMIFS(E52:E64,$O$52:$O$64,Lister!$D$32,$A$52:$A$64,Lister!$M$10))*$C$6)/100,IF($G$6=Lister!$D$7,(U87*$C$6)/100,0)))))</f>
        <v>0</v>
      </c>
      <c r="V89" s="340">
        <f>IF(F12=2,V86*F6/100,IF($G$6=Lister!$D$4,(V86*$C$6)/100,IF($G$6=Lister!$D$5,(V88*$C$6)/100,IF($G$6=Lister!$D$6,((V88-SUMIFS(F52:F64,$O$52:$O$64,Lister!$D$31,$A$52:$A$64,Lister!$M$10)-SUMIFS(F52:F64,$O$52:$O$64,Lister!$D$32,$A$52:$A$64,Lister!$M$10))*$C$6)/100,IF($G$6=Lister!$D$7,(V87*$C$6)/100,0)))))</f>
        <v>0</v>
      </c>
      <c r="W89" s="340">
        <f>IF(G12=2,W86*G6/100,IF($G$6=Lister!$D$4,(W86*$C$6)/100,IF($G$6=Lister!$D$5,(W88*$C$6)/100,IF($G$6=Lister!$D$6,((W88-SUMIFS(G52:G64,$O$52:$O$64,Lister!$D$31,$A$52:$A$64,Lister!$M$10)-SUMIFS(G52:G64,$O$52:$O$64,Lister!$D$32,$A$52:$A$64,Lister!$M$10))*$C$6)/100,IF($G$6=Lister!$D$7,(W87*$C$6)/100,0)))))</f>
        <v>0</v>
      </c>
      <c r="X89" s="341">
        <f>IF(H12=2,X86*H6/100,IF($G$6=Lister!$D$4,(X86*$C$6)/100,IF($G$6=Lister!$D$5,(X88*$C$6)/100,IF($G$6=Lister!$D$6,((X88-SUMIFS(H52:H64,$O$52:$O$64,Lister!$D$31,$A$52:$A$64,Lister!$M$10)-SUMIFS(H52:H64,$O$52:$O$64,Lister!$D$32,$A$52:$A$64,Lister!$M$10))*$C$6)/100,IF($G$6=Lister!$D$7,(X87*$C$6)/100,0)))))</f>
        <v>0</v>
      </c>
      <c r="Y89" s="216">
        <f>IF(I12=2,Y86*I6/100,IF($G$6=Lister!$D$4,(Y86*$C$6)/100,IF($G$6=Lister!$D$5,(Y88*$C$6)/100,IF($G$6=Lister!$D$6,((Y88-SUMIFS(I52:I64,$O$52:$O$64,Lister!$D$31,$A$52:$A$64,Lister!$M$10)-SUMIFS(I52:I64,$O$52:$O$64,Lister!$D$32,$A$52:$A$64,Lister!$M$10))*$C$6)/100,IF($G$6=Lister!$D$7,(Y87*$C$6)/100,0)))))</f>
        <v>0</v>
      </c>
      <c r="Z89" s="215">
        <f>IF(J12=2,Z86*J6/100,IF($G$6=Lister!$D$4,(Z86*$C$6)/100,IF($G$6=Lister!$D$5,(Z88*$C$6)/100,IF($G$6=Lister!$D$6,((Z88-SUMIFS(J52:J64,$O$52:$O$64,Lister!$D$31,$A$52:$A$64,Lister!$M$10)-SUMIFS(J52:J64,$O$52:$O$64,Lister!$D$32,$A$52:$A$64,Lister!$M$10))*$C$6)/100,IF($G$6=Lister!$D$7,(Z87*$C$6)/100,0)))))</f>
        <v>0</v>
      </c>
      <c r="AA89" s="215">
        <f>IF(K12=2,AA86*K6/100,IF($G$6=Lister!$D$4,(AA86*$C$6)/100,IF($G$6=Lister!$D$5,(AA88*$C$6)/100,IF($G$6=Lister!$D$6,((AA88-SUMIFS(K52:K64,$O$52:$O$64,Lister!$D$31,$A$52:$A$64,Lister!$M$10)-SUMIFS(K52:K64,$O$52:$O$64,Lister!$D$32,$A$52:$A$64,Lister!$M$10))*$C$6)/100,IF($G$6=Lister!$D$7,(AA87*$C$6)/100,0)))))</f>
        <v>0</v>
      </c>
      <c r="AB89" s="215">
        <f>IF(L12=2,AB86*L6/100,IF($G$6=Lister!$D$4,(AB86*$C$6)/100,IF($G$6=Lister!$D$5,(AB88*$C$6)/100,IF($G$6=Lister!$D$6,((AB88-SUMIFS(L52:L64,$O$52:$O$64,Lister!$D$31,$A$52:$A$64,Lister!$M$10)-SUMIFS(L52:L64,$O$52:$O$64,Lister!$D$32,$A$52:$A$64,Lister!$M$10))*$C$6)/100,IF($G$6=Lister!$D$7,(AB87*$C$6)/100,0)))))</f>
        <v>0</v>
      </c>
      <c r="AC89" s="147">
        <f t="shared" si="128"/>
        <v>0</v>
      </c>
      <c r="AF89" s="71"/>
      <c r="AG89" s="71"/>
      <c r="AH89" s="71"/>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row>
    <row r="90" spans="1:62" s="9" customFormat="1" ht="14.25" customHeight="1" x14ac:dyDescent="0.2">
      <c r="N90" s="71"/>
      <c r="O90" s="87"/>
      <c r="P90" s="87"/>
      <c r="Q90" s="160" t="s">
        <v>103</v>
      </c>
      <c r="R90" s="327">
        <f t="shared" si="127"/>
        <v>0</v>
      </c>
      <c r="S90" s="162">
        <f>+IF($C$8=Lister!$O$5,(SUMIF($O$20:$O$29,Lister!D31,C20:C29)+SUMIF($O$20:$O$29,Lister!D32,C20:C29))*Takstblad!C$81,0)</f>
        <v>0</v>
      </c>
      <c r="T90" s="162">
        <f>+IF($C$8=Lister!$O$5,(SUMIF($O$20:$O$29,Lister!E29,D20:D29)+SUMIF($O$20:$O$29,Lister!E30,D20:D29))*Takstblad!D$81,0)</f>
        <v>0</v>
      </c>
      <c r="U90" s="162">
        <f>+IF($C$8=Lister!$O$5,(SUMIF($O$20:$O$29,Lister!F29,E20:E29)+SUMIF($O$20:$O$29,Lister!F30,E20:E29))*Takstblad!E$81,0)</f>
        <v>0</v>
      </c>
      <c r="V90" s="162">
        <f>+IF($C$8=Lister!$O$5,(SUMIF($O$20:$O$29,Lister!G29,F20:F29)+SUMIF($O$20:$O$29,Lister!G30,F20:F29))*Takstblad!F$81,0)</f>
        <v>0</v>
      </c>
      <c r="W90" s="162">
        <f>+IF($C$8=Lister!$O$5,(SUMIF($O$20:$O$29,Lister!H29,G20:G29)+SUMIF($O$20:$O$29,Lister!H30,G20:G29))*Takstblad!G$81,0)</f>
        <v>0</v>
      </c>
      <c r="X90" s="315">
        <f>+IF($C$8=Lister!$O$5,(SUMIF($O$20:$O$29,Lister!I29,H20:H29)+SUMIF($O$20:$O$29,Lister!I30,H20:H29))*Takstblad!H$81,0)</f>
        <v>0</v>
      </c>
      <c r="Y90" s="119">
        <f>+IF($C$8=Lister!$O$5,(SUMIF($O$20:$O$29,Lister!J29,I20:I29)+SUMIF($O$20:$O$29,Lister!J30,I20:I29))*Takstblad!I$81,0)</f>
        <v>0</v>
      </c>
      <c r="Z90" s="21">
        <f>+IF($C$8=Lister!$O$5,(SUMIF($O$20:$O$29,Lister!K29,J20:J29)+SUMIF($O$20:$O$29,Lister!K30,J20:J29))*Takstblad!J$81,0)</f>
        <v>0</v>
      </c>
      <c r="AA90" s="21">
        <f>+IF($C$8=Lister!$O$5,(SUMIF($O$20:$O$29,Lister!L29,K20:K29)+SUMIF($O$20:$O$29,Lister!L30,K20:K29))*Takstblad!K$81,0)</f>
        <v>0</v>
      </c>
      <c r="AB90" s="21">
        <f>+IF($C$8=Lister!$O$5,(SUMIF($O$20:$O$29,Lister!M29,L20:L29)+SUMIF($O$20:$O$29,Lister!M30,L20:L29))*Takstblad!L$81,0)</f>
        <v>0</v>
      </c>
      <c r="AC90" s="147">
        <f t="shared" si="128"/>
        <v>0</v>
      </c>
      <c r="AF90" s="70"/>
      <c r="AG90" s="70"/>
      <c r="AH90" s="70"/>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row>
    <row r="91" spans="1:62" s="9" customFormat="1" ht="14.25" customHeight="1" x14ac:dyDescent="0.2">
      <c r="N91" s="71"/>
      <c r="O91" s="87"/>
      <c r="P91" s="87"/>
      <c r="Q91" s="160" t="s">
        <v>108</v>
      </c>
      <c r="R91" s="327">
        <f t="shared" si="127"/>
        <v>0</v>
      </c>
      <c r="S91" s="162"/>
      <c r="T91" s="164"/>
      <c r="U91" s="164"/>
      <c r="V91" s="164"/>
      <c r="W91" s="164"/>
      <c r="X91" s="323"/>
      <c r="Y91" s="123"/>
      <c r="Z91" s="124"/>
      <c r="AA91" s="124"/>
      <c r="AB91" s="124"/>
      <c r="AC91" s="147">
        <f t="shared" si="128"/>
        <v>0</v>
      </c>
      <c r="AF91" s="79"/>
      <c r="AG91" s="79"/>
      <c r="AH91" s="79"/>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row>
    <row r="92" spans="1:62" s="9" customFormat="1" ht="14.25" customHeight="1" x14ac:dyDescent="0.2">
      <c r="N92" s="71"/>
      <c r="O92" s="87"/>
      <c r="P92" s="87"/>
      <c r="Q92" s="159" t="s">
        <v>545</v>
      </c>
      <c r="R92" s="327">
        <f t="shared" si="127"/>
        <v>0</v>
      </c>
      <c r="S92" s="162" t="str">
        <f>IF($C$12=2,(SUM(S88:S91)*$C$13)/100,"0")</f>
        <v>0</v>
      </c>
      <c r="T92" s="164" t="str">
        <f t="shared" ref="T92:Z92" si="134">IF($C$12=2,(SUM(T88:T91)*$C$13)/100,"0")</f>
        <v>0</v>
      </c>
      <c r="U92" s="164" t="str">
        <f t="shared" si="134"/>
        <v>0</v>
      </c>
      <c r="V92" s="164" t="str">
        <f t="shared" si="134"/>
        <v>0</v>
      </c>
      <c r="W92" s="164" t="str">
        <f t="shared" si="134"/>
        <v>0</v>
      </c>
      <c r="X92" s="323" t="str">
        <f t="shared" si="134"/>
        <v>0</v>
      </c>
      <c r="Y92" s="165" t="str">
        <f t="shared" si="134"/>
        <v>0</v>
      </c>
      <c r="Z92" s="164" t="str">
        <f t="shared" si="134"/>
        <v>0</v>
      </c>
      <c r="AA92" s="164" t="str">
        <f t="shared" ref="AA92:AB92" si="135">IF($C$12=2,(SUM(AA88:AA91)*$C$13)/100,"0")</f>
        <v>0</v>
      </c>
      <c r="AB92" s="164" t="str">
        <f t="shared" si="135"/>
        <v>0</v>
      </c>
      <c r="AC92" s="147">
        <f t="shared" si="128"/>
        <v>0</v>
      </c>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row>
    <row r="93" spans="1:62" s="9" customFormat="1" ht="14.25" customHeight="1" x14ac:dyDescent="0.2">
      <c r="N93" s="71"/>
      <c r="O93" s="87"/>
      <c r="P93" s="87"/>
      <c r="Q93" s="158" t="s">
        <v>101</v>
      </c>
      <c r="R93" s="327">
        <f t="shared" si="127"/>
        <v>0</v>
      </c>
      <c r="S93" s="328">
        <f>+SUM(S88:S92)</f>
        <v>0</v>
      </c>
      <c r="T93" s="328">
        <f t="shared" ref="T93:Z93" si="136">+SUM(T88:T92)</f>
        <v>0</v>
      </c>
      <c r="U93" s="328">
        <f t="shared" si="136"/>
        <v>0</v>
      </c>
      <c r="V93" s="328">
        <f t="shared" si="136"/>
        <v>0</v>
      </c>
      <c r="W93" s="328">
        <f t="shared" si="136"/>
        <v>0</v>
      </c>
      <c r="X93" s="329">
        <f t="shared" si="136"/>
        <v>0</v>
      </c>
      <c r="Y93" s="311">
        <f t="shared" si="136"/>
        <v>0</v>
      </c>
      <c r="Z93" s="146">
        <f t="shared" si="136"/>
        <v>0</v>
      </c>
      <c r="AA93" s="146">
        <f t="shared" ref="AA93:AB93" si="137">+SUM(AA88:AA92)</f>
        <v>0</v>
      </c>
      <c r="AB93" s="146">
        <f t="shared" si="137"/>
        <v>0</v>
      </c>
      <c r="AC93" s="147">
        <f t="shared" si="128"/>
        <v>0</v>
      </c>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238"/>
      <c r="R94" s="239"/>
      <c r="S94" s="23"/>
      <c r="X94" s="239"/>
      <c r="AC94" s="239"/>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5">
      <c r="N95" s="71"/>
      <c r="O95" s="87"/>
      <c r="P95" s="87"/>
      <c r="Q95" s="139" t="s">
        <v>152</v>
      </c>
      <c r="R95" s="140"/>
      <c r="S95" s="241"/>
      <c r="T95" s="145"/>
      <c r="U95" s="145"/>
      <c r="V95" s="145"/>
      <c r="W95" s="145"/>
      <c r="X95" s="320"/>
      <c r="Y95" s="145"/>
      <c r="Z95" s="145"/>
      <c r="AA95" s="145"/>
      <c r="AB95" s="145"/>
      <c r="AC95" s="140"/>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s="9" customFormat="1" ht="14.25" customHeight="1" x14ac:dyDescent="0.25">
      <c r="N96" s="71"/>
      <c r="O96" s="87"/>
      <c r="P96" s="87"/>
      <c r="Q96" s="143"/>
      <c r="R96" s="142"/>
      <c r="S96" s="16"/>
      <c r="T96" s="76"/>
      <c r="U96" s="76"/>
      <c r="V96" s="76"/>
      <c r="W96" s="76"/>
      <c r="X96" s="142"/>
      <c r="Y96" s="76"/>
      <c r="Z96" s="76"/>
      <c r="AA96" s="76"/>
      <c r="AB96" s="76"/>
      <c r="AC96" s="142"/>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9" customFormat="1" ht="14.25" customHeight="1" x14ac:dyDescent="0.2">
      <c r="N97" s="71"/>
      <c r="O97" s="87"/>
      <c r="P97" s="87"/>
      <c r="Q97" s="161" t="s">
        <v>22</v>
      </c>
      <c r="R97" s="133" t="s">
        <v>34</v>
      </c>
      <c r="S97" s="45">
        <f>+S83</f>
        <v>2025</v>
      </c>
      <c r="T97" s="8">
        <f t="shared" ref="T97:Z97" si="138">+T83</f>
        <v>2026</v>
      </c>
      <c r="U97" s="8">
        <f t="shared" si="138"/>
        <v>2027</v>
      </c>
      <c r="V97" s="8">
        <f t="shared" si="138"/>
        <v>2028</v>
      </c>
      <c r="W97" s="8">
        <f t="shared" si="138"/>
        <v>2029</v>
      </c>
      <c r="X97" s="133">
        <f t="shared" si="138"/>
        <v>2030</v>
      </c>
      <c r="Y97" s="8">
        <f t="shared" si="138"/>
        <v>2031</v>
      </c>
      <c r="Z97" s="8">
        <f t="shared" si="138"/>
        <v>2032</v>
      </c>
      <c r="AA97" s="8">
        <f t="shared" ref="AA97:AB97" si="139">+AA83</f>
        <v>2033</v>
      </c>
      <c r="AB97" s="8">
        <f t="shared" si="139"/>
        <v>2034</v>
      </c>
      <c r="AC97" s="133" t="s">
        <v>34</v>
      </c>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1"/>
      <c r="O98" s="87"/>
      <c r="P98" s="87"/>
      <c r="Q98" s="156" t="s">
        <v>74</v>
      </c>
      <c r="R98" s="330">
        <f t="shared" ref="R98:R107" si="140">+AC98</f>
        <v>0</v>
      </c>
      <c r="S98" s="331">
        <f>+SUMIF($O$20:$O$29,Lister!$D$30,S$20:S$29)</f>
        <v>0</v>
      </c>
      <c r="T98" s="334">
        <f>+SUMIF($O$20:$O$29,Lister!$D$30,T$20:T$29)</f>
        <v>0</v>
      </c>
      <c r="U98" s="331">
        <f>+SUMIF($O$20:$O$29,Lister!$D$30,U$20:U$29)</f>
        <v>0</v>
      </c>
      <c r="V98" s="334">
        <f>+SUMIF($O$20:$O$29,Lister!$D$30,V$20:V$29)</f>
        <v>0</v>
      </c>
      <c r="W98" s="331">
        <f>+SUMIF($O$20:$O$29,Lister!$D$30,W$20:W$29)</f>
        <v>0</v>
      </c>
      <c r="X98" s="335">
        <f>+SUMIF($O$20:$O$29,Lister!$D$30,X$20:X$29)</f>
        <v>0</v>
      </c>
      <c r="Y98" s="309">
        <f>+SUMIF($O$20:$O$29,Lister!$D$30,Y$20:Y$29)</f>
        <v>0</v>
      </c>
      <c r="Z98" s="28">
        <f>+SUMIF($O$20:$O$29,Lister!$D$30,Z$20:Z$29)</f>
        <v>0</v>
      </c>
      <c r="AA98" s="28">
        <f>+SUMIF($O$20:$O$29,Lister!$D$30,AA$20:AA$29)</f>
        <v>0</v>
      </c>
      <c r="AB98" s="28">
        <f>+SUMIF($O$20:$O$29,Lister!$D$30,AB$20:AB$29)</f>
        <v>0</v>
      </c>
      <c r="AC98" s="149">
        <f>SUM(S98:AB98)</f>
        <v>0</v>
      </c>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row>
    <row r="99" spans="14:62" s="9" customFormat="1" ht="14.25" customHeight="1" x14ac:dyDescent="0.2">
      <c r="N99" s="71"/>
      <c r="O99" s="87"/>
      <c r="P99" s="87"/>
      <c r="Q99" s="157" t="s">
        <v>75</v>
      </c>
      <c r="R99" s="324">
        <f t="shared" si="140"/>
        <v>0</v>
      </c>
      <c r="S99" s="325">
        <f>+SUMIF($O$33:$O$45,Lister!$D$30,S$33:S$45)</f>
        <v>0</v>
      </c>
      <c r="T99" s="336">
        <f>+SUMIF($O$33:$O$45,Lister!$D$30,T$33:T$45)</f>
        <v>0</v>
      </c>
      <c r="U99" s="325">
        <f>+SUMIF($O$33:$O$45,Lister!$D$30,U$33:U$45)</f>
        <v>0</v>
      </c>
      <c r="V99" s="336">
        <f>+SUMIF($O$33:$O$45,Lister!$D$30,V$33:V$45)</f>
        <v>0</v>
      </c>
      <c r="W99" s="325">
        <f>+SUMIF($O$33:$O$45,Lister!$D$30,W$33:W$45)</f>
        <v>0</v>
      </c>
      <c r="X99" s="337">
        <f>+SUMIF($O$33:$O$45,Lister!$D$30,X$33:X$45)</f>
        <v>0</v>
      </c>
      <c r="Y99" s="310">
        <f>+SUMIF($O$33:$O$45,Lister!$D$30,Y$33:Y$45)</f>
        <v>0</v>
      </c>
      <c r="Z99" s="122">
        <f>+SUMIF($O$33:$O$45,Lister!$D$30,Z$33:Z$45)</f>
        <v>0</v>
      </c>
      <c r="AA99" s="122">
        <f>+SUMIF($O$33:$O$45,Lister!$D$30,AA$33:AA$45)</f>
        <v>0</v>
      </c>
      <c r="AB99" s="122">
        <f>+SUMIF($O$33:$O$45,Lister!$D$30,AB$33:AB$45)</f>
        <v>0</v>
      </c>
      <c r="AC99" s="150">
        <f t="shared" ref="AC99:AC107" si="141">SUM(S99:AB99)</f>
        <v>0</v>
      </c>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row>
    <row r="100" spans="14:62" s="9" customFormat="1" ht="14.25" customHeight="1" x14ac:dyDescent="0.2">
      <c r="N100" s="71"/>
      <c r="O100" s="87"/>
      <c r="P100" s="87"/>
      <c r="Q100" s="158" t="s">
        <v>76</v>
      </c>
      <c r="R100" s="327">
        <f t="shared" si="140"/>
        <v>0</v>
      </c>
      <c r="S100" s="328">
        <f>+SUM(S98:S99)</f>
        <v>0</v>
      </c>
      <c r="T100" s="328">
        <f t="shared" ref="T100:Z100" si="142">+SUM(T98:T99)</f>
        <v>0</v>
      </c>
      <c r="U100" s="328">
        <f t="shared" si="142"/>
        <v>0</v>
      </c>
      <c r="V100" s="328">
        <f t="shared" si="142"/>
        <v>0</v>
      </c>
      <c r="W100" s="328">
        <f t="shared" si="142"/>
        <v>0</v>
      </c>
      <c r="X100" s="329">
        <f t="shared" si="142"/>
        <v>0</v>
      </c>
      <c r="Y100" s="151">
        <f t="shared" si="142"/>
        <v>0</v>
      </c>
      <c r="Z100" s="146">
        <f t="shared" si="142"/>
        <v>0</v>
      </c>
      <c r="AA100" s="146">
        <f t="shared" ref="AA100:AB100" si="143">+SUM(AA98:AA99)</f>
        <v>0</v>
      </c>
      <c r="AB100" s="146">
        <f t="shared" si="143"/>
        <v>0</v>
      </c>
      <c r="AC100" s="147">
        <f t="shared" si="141"/>
        <v>0</v>
      </c>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58" t="s">
        <v>77</v>
      </c>
      <c r="R101" s="327">
        <f t="shared" si="140"/>
        <v>0</v>
      </c>
      <c r="S101" s="328">
        <f>+SUMIF($O$52:$O$64,Lister!$D$30,C$52:C$64)</f>
        <v>0</v>
      </c>
      <c r="T101" s="344">
        <f>+SUMIF($O$52:$O$64,Lister!$D$30,D$52:D$64)</f>
        <v>0</v>
      </c>
      <c r="U101" s="344">
        <f>+SUMIF($O$52:$O$64,Lister!$D$30,E$52:E$64)</f>
        <v>0</v>
      </c>
      <c r="V101" s="344">
        <f>+SUMIF($O$52:$O$64,Lister!$D$30,F$52:F$64)</f>
        <v>0</v>
      </c>
      <c r="W101" s="344">
        <f>+SUMIF($O$52:$O$64,Lister!$D$30,G$52:G$64)</f>
        <v>0</v>
      </c>
      <c r="X101" s="345">
        <f>+SUMIF($O$52:$O$64,Lister!$D$30,H$52:H$64)</f>
        <v>0</v>
      </c>
      <c r="Y101" s="220">
        <f>+SUMIF($O$52:$O$64,Lister!$D$30,I$52:I$64)</f>
        <v>0</v>
      </c>
      <c r="Z101" s="219">
        <f>+SUMIF($O$52:$O$64,Lister!$D$30,J$52:J$64)</f>
        <v>0</v>
      </c>
      <c r="AA101" s="219">
        <f>+SUMIF($O$52:$O$64,Lister!$D$30,K$52:K$64)</f>
        <v>0</v>
      </c>
      <c r="AB101" s="219">
        <f>+SUMIF($O$52:$O$64,Lister!$D$30,L$52:L$64)</f>
        <v>0</v>
      </c>
      <c r="AC101" s="147">
        <f t="shared" si="141"/>
        <v>0</v>
      </c>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8" t="s">
        <v>78</v>
      </c>
      <c r="R102" s="327">
        <f t="shared" si="140"/>
        <v>0</v>
      </c>
      <c r="S102" s="328">
        <f>+S101+S100</f>
        <v>0</v>
      </c>
      <c r="T102" s="346">
        <f t="shared" ref="T102:Z102" si="144">+T101+T100</f>
        <v>0</v>
      </c>
      <c r="U102" s="346">
        <f t="shared" si="144"/>
        <v>0</v>
      </c>
      <c r="V102" s="346">
        <f t="shared" si="144"/>
        <v>0</v>
      </c>
      <c r="W102" s="346">
        <f t="shared" si="144"/>
        <v>0</v>
      </c>
      <c r="X102" s="347">
        <f t="shared" si="144"/>
        <v>0</v>
      </c>
      <c r="Y102" s="155">
        <f t="shared" si="144"/>
        <v>0</v>
      </c>
      <c r="Z102" s="154">
        <f t="shared" si="144"/>
        <v>0</v>
      </c>
      <c r="AA102" s="154">
        <f t="shared" ref="AA102:AB102" si="145">+AA101+AA100</f>
        <v>0</v>
      </c>
      <c r="AB102" s="154">
        <f t="shared" si="145"/>
        <v>0</v>
      </c>
      <c r="AC102" s="147">
        <f t="shared" si="141"/>
        <v>0</v>
      </c>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15" customFormat="1" ht="14.25" customHeight="1" x14ac:dyDescent="0.2">
      <c r="N103" s="71"/>
      <c r="O103" s="87"/>
      <c r="P103" s="87"/>
      <c r="Q103" s="159" t="s">
        <v>0</v>
      </c>
      <c r="R103" s="327">
        <f t="shared" si="140"/>
        <v>0</v>
      </c>
      <c r="S103" s="162">
        <f>IF(C12=2,S100*C6/100,IF($G$6=Lister!$D$4,(S100*$C$6)/100,IF($G$6=Lister!$D$5,(S102*$C$6)/100,IF($G$6=Lister!$D$6,((S102-SUMIFS(C52:C64,$O$52:$O$64,Lister!$D$30,$A$52:$A$64,Lister!$M$10))*$C$6)/100,IF($G$6=Lister!$D$7,(S101*$C$6)/100,0)))))</f>
        <v>0</v>
      </c>
      <c r="T103" s="340">
        <f>IF(D12=2,T100*D6/100,IF($G$6=Lister!$D$4,(T100*$C$6)/100,IF($G$6=Lister!$D$5,(T102*$C$6)/100,IF($G$6=Lister!$D$6,((T102-SUMIFS(D52:D64,$O$52:$O$64,Lister!$D$30,$A$52:$A$64,Lister!$M$10))*$C$6)/100,IF($G$6=Lister!$D$7,(T101*$C$6)/100,0)))))</f>
        <v>0</v>
      </c>
      <c r="U103" s="340">
        <f>IF(E12=2,U100*E6/100,IF($G$6=Lister!$D$4,(U100*$C$6)/100,IF($G$6=Lister!$D$5,(U102*$C$6)/100,IF($G$6=Lister!$D$6,((U102-SUMIFS(E52:E64,$O$52:$O$64,Lister!$D$30,$A$52:$A$64,Lister!$M$10))*$C$6)/100,IF($G$6=Lister!$D$7,(U101*$C$6)/100,0)))))</f>
        <v>0</v>
      </c>
      <c r="V103" s="340">
        <f>IF(F12=2,V100*F6/100,IF($G$6=Lister!$D$4,(V100*$C$6)/100,IF($G$6=Lister!$D$5,(V102*$C$6)/100,IF($G$6=Lister!$D$6,((V102-SUMIFS(F52:F64,$O$52:$O$64,Lister!$D$30,$A$52:$A$64,Lister!$M$10))*$C$6)/100,IF($G$6=Lister!$D$7,(V101*$C$6)/100,0)))))</f>
        <v>0</v>
      </c>
      <c r="W103" s="340">
        <f>IF(G12=2,W100*G6/100,IF($G$6=Lister!$D$4,(W100*$C$6)/100,IF($G$6=Lister!$D$5,(W102*$C$6)/100,IF($G$6=Lister!$D$6,((W102-SUMIFS(G52:G64,$O$52:$O$64,Lister!$D$30,$A$52:$A$64,Lister!$M$10))*$C$6)/100,IF($G$6=Lister!$D$7,(W101*$C$6)/100,0)))))</f>
        <v>0</v>
      </c>
      <c r="X103" s="341">
        <f>IF(H12=2,X100*H6/100,IF($G$6=Lister!$D$4,(X100*$C$6)/100,IF($G$6=Lister!$D$5,(X102*$C$6)/100,IF($G$6=Lister!$D$6,((X102-SUMIFS(H52:H64,$O$52:$O$64,Lister!$D$30,$A$52:$A$64,Lister!$M$10))*$C$6)/100,IF($G$6=Lister!$D$7,(X101*$C$6)/100,0)))))</f>
        <v>0</v>
      </c>
      <c r="Y103" s="216">
        <f>IF(I12=2,Y100*I6/100,IF($G$6=Lister!$D$4,(Y100*$C$6)/100,IF($G$6=Lister!$D$5,(Y102*$C$6)/100,IF($G$6=Lister!$D$6,((Y102-SUMIFS(I52:I64,$O$52:$O$64,Lister!$D$30,$A$52:$A$64,Lister!$M$10))*$C$6)/100,IF($G$6=Lister!$D$7,(Y101*$C$6)/100,0)))))</f>
        <v>0</v>
      </c>
      <c r="Z103" s="215">
        <f>IF(J12=2,Z100*J6/100,IF($G$6=Lister!$D$4,(Z100*$C$6)/100,IF($G$6=Lister!$D$5,(Z102*$C$6)/100,IF($G$6=Lister!$D$6,((Z102-SUMIFS(J52:J64,$O$52:$O$64,Lister!$D$30,$A$52:$A$64,Lister!$M$10))*$C$6)/100,IF($G$6=Lister!$D$7,(Z101*$C$6)/100,0)))))</f>
        <v>0</v>
      </c>
      <c r="AA103" s="215">
        <f>IF(K12=2,AA100*K6/100,IF($G$6=Lister!$D$4,(AA100*$C$6)/100,IF($G$6=Lister!$D$5,(AA102*$C$6)/100,IF($G$6=Lister!$D$6,((AA102-SUMIFS(K52:K64,$O$52:$O$64,Lister!$D$30,$A$52:$A$64,Lister!$M$10))*$C$6)/100,IF($G$6=Lister!$D$7,(AA101*$C$6)/100,0)))))</f>
        <v>0</v>
      </c>
      <c r="AB103" s="215">
        <f>IF(L12=2,AB100*L6/100,IF($G$6=Lister!$D$4,(AB100*$C$6)/100,IF($G$6=Lister!$D$5,(AB102*$C$6)/100,IF($G$6=Lister!$D$6,((AB102-SUMIFS(L52:L64,$O$52:$O$64,Lister!$D$30,$A$52:$A$64,Lister!$M$10))*$C$6)/100,IF($G$6=Lister!$D$7,(AB101*$C$6)/100,0)))))</f>
        <v>0</v>
      </c>
      <c r="AC103" s="147">
        <f t="shared" si="141"/>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160" t="s">
        <v>103</v>
      </c>
      <c r="R104" s="327">
        <f t="shared" si="140"/>
        <v>0</v>
      </c>
      <c r="S104" s="162">
        <f>+IF($C$8=Lister!$O$5,(SUMIF($O$20:$O$29,Lister!$D$30,C20:C29))*Takstblad!C$81,0)</f>
        <v>0</v>
      </c>
      <c r="T104" s="162">
        <f>+IF($C$8=Lister!$O$5,(SUMIF($O$20:$O$29,Lister!$D$30,D20:D29))*Takstblad!D$81,0)</f>
        <v>0</v>
      </c>
      <c r="U104" s="162">
        <f>+IF($C$8=Lister!$O$5,(SUMIF($O$20:$O$29,Lister!$D$30,E20:E29))*Takstblad!E$81,0)</f>
        <v>0</v>
      </c>
      <c r="V104" s="162">
        <f>+IF($C$8=Lister!$O$5,(SUMIF($O$20:$O$29,Lister!$D$30,F20:F29))*Takstblad!F$81,0)</f>
        <v>0</v>
      </c>
      <c r="W104" s="162">
        <f>+IF($C$8=Lister!$O$5,(SUMIF($O$20:$O$29,Lister!$D$30,G20:G29))*Takstblad!G$81,0)</f>
        <v>0</v>
      </c>
      <c r="X104" s="315">
        <f>+IF($C$8=Lister!$O$5,(SUMIF($O$20:$O$29,Lister!$D$30,H20:H29))*Takstblad!H$81,0)</f>
        <v>0</v>
      </c>
      <c r="Y104" s="312">
        <f>+IF($C$8=Lister!$O$5,(SUMIF($O$20:$O$29,Lister!$D$30,I20:I29))*Takstblad!I$81,0)</f>
        <v>0</v>
      </c>
      <c r="Z104" s="21">
        <f>+IF($C$8=Lister!$O$5,(SUMIF($O$20:$O$29,Lister!$D$30,J20:J29))*Takstblad!J$81,0)</f>
        <v>0</v>
      </c>
      <c r="AA104" s="21">
        <f>+IF($C$8=Lister!$O$5,(SUMIF($O$20:$O$29,Lister!$D$30,K20:K29))*Takstblad!K$81,0)</f>
        <v>0</v>
      </c>
      <c r="AB104" s="21">
        <f>+IF($C$8=Lister!$O$5,(SUMIF($O$20:$O$29,Lister!$D$30,L20:L29))*Takstblad!L$81,0)</f>
        <v>0</v>
      </c>
      <c r="AC104" s="147">
        <f t="shared" si="141"/>
        <v>0</v>
      </c>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ht="14.25" customHeight="1" x14ac:dyDescent="0.2">
      <c r="N105" s="82"/>
      <c r="O105" s="93"/>
      <c r="P105" s="93"/>
      <c r="Q105" s="160" t="s">
        <v>108</v>
      </c>
      <c r="R105" s="327">
        <f t="shared" si="140"/>
        <v>0</v>
      </c>
      <c r="S10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12)*Takstblad!C$82,0)</f>
        <v>0</v>
      </c>
      <c r="T10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12)*Takstblad!D$82,0)</f>
        <v>0</v>
      </c>
      <c r="U10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12)*Takstblad!E$82,0)</f>
        <v>0</v>
      </c>
      <c r="V10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12)*Takstblad!F$82,0)</f>
        <v>0</v>
      </c>
      <c r="W10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12)*Takstblad!G$82,0)</f>
        <v>0</v>
      </c>
      <c r="X105"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12)*Takstblad!H$82,0)</f>
        <v>0</v>
      </c>
      <c r="Y10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12)*Takstblad!I$82,0)</f>
        <v>0</v>
      </c>
      <c r="Z10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12)*Takstblad!J$82,0)</f>
        <v>0</v>
      </c>
      <c r="AA10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12)*Takstblad!K$82,0)</f>
        <v>0</v>
      </c>
      <c r="AB10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12)*Takstblad!L$82,0)</f>
        <v>0</v>
      </c>
      <c r="AC105" s="147">
        <f t="shared" si="141"/>
        <v>0</v>
      </c>
      <c r="AD105" s="71"/>
      <c r="AE105" s="71"/>
      <c r="AF105" s="71"/>
      <c r="AG105" s="71"/>
      <c r="AH105" s="71"/>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row>
    <row r="106" spans="14:62" ht="14.25" customHeight="1" x14ac:dyDescent="0.2">
      <c r="N106" s="71"/>
      <c r="O106" s="87"/>
      <c r="P106" s="87"/>
      <c r="Q106" s="159" t="s">
        <v>545</v>
      </c>
      <c r="R106" s="327">
        <f t="shared" si="140"/>
        <v>0</v>
      </c>
      <c r="S106" s="162" t="str">
        <f>IF($C$12=2,(SUM(S102:S105)*$C$13)/100,"0")</f>
        <v>0</v>
      </c>
      <c r="T106" s="164" t="str">
        <f>IF($C$12=2,(SUM(T102:T105)*$C$13)/100,"0")</f>
        <v>0</v>
      </c>
      <c r="U106" s="164" t="str">
        <f t="shared" ref="U106:Z106" si="146">IF($C$12=2,(SUM(U102:U105)*$C$13)/100,"0")</f>
        <v>0</v>
      </c>
      <c r="V106" s="164" t="str">
        <f t="shared" si="146"/>
        <v>0</v>
      </c>
      <c r="W106" s="164" t="str">
        <f t="shared" si="146"/>
        <v>0</v>
      </c>
      <c r="X106" s="323" t="str">
        <f t="shared" si="146"/>
        <v>0</v>
      </c>
      <c r="Y106" s="165" t="str">
        <f t="shared" si="146"/>
        <v>0</v>
      </c>
      <c r="Z106" s="164" t="str">
        <f t="shared" si="146"/>
        <v>0</v>
      </c>
      <c r="AA106" s="164" t="str">
        <f t="shared" ref="AA106:AB106" si="147">IF($C$12=2,(SUM(AA102:AA105)*$C$13)/100,"0")</f>
        <v>0</v>
      </c>
      <c r="AB106" s="164" t="str">
        <f t="shared" si="147"/>
        <v>0</v>
      </c>
      <c r="AC106" s="147">
        <f t="shared" si="141"/>
        <v>0</v>
      </c>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ht="14.25" customHeight="1" x14ac:dyDescent="0.2">
      <c r="N107" s="70"/>
      <c r="O107" s="85"/>
      <c r="P107" s="85"/>
      <c r="Q107" s="158" t="s">
        <v>101</v>
      </c>
      <c r="R107" s="327">
        <f t="shared" si="140"/>
        <v>0</v>
      </c>
      <c r="S107" s="328">
        <f>+SUM(S102:S106)</f>
        <v>0</v>
      </c>
      <c r="T107" s="328">
        <f t="shared" ref="T107:Z107" si="148">+SUM(T102:T106)</f>
        <v>0</v>
      </c>
      <c r="U107" s="328">
        <f t="shared" si="148"/>
        <v>0</v>
      </c>
      <c r="V107" s="328">
        <f t="shared" si="148"/>
        <v>0</v>
      </c>
      <c r="W107" s="328">
        <f t="shared" si="148"/>
        <v>0</v>
      </c>
      <c r="X107" s="329">
        <f t="shared" si="148"/>
        <v>0</v>
      </c>
      <c r="Y107" s="311">
        <f t="shared" si="148"/>
        <v>0</v>
      </c>
      <c r="Z107" s="146">
        <f t="shared" si="148"/>
        <v>0</v>
      </c>
      <c r="AA107" s="146">
        <f t="shared" ref="AA107:AB107" si="149">+SUM(AA102:AA106)</f>
        <v>0</v>
      </c>
      <c r="AB107" s="146">
        <f t="shared" si="149"/>
        <v>0</v>
      </c>
      <c r="AC107" s="147">
        <f t="shared" si="141"/>
        <v>0</v>
      </c>
      <c r="AD107" s="71"/>
      <c r="AE107" s="82"/>
      <c r="AF107" s="82"/>
      <c r="AG107" s="82"/>
      <c r="AH107" s="82"/>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row>
    <row r="108" spans="14:62" s="9" customFormat="1" ht="14.25" customHeight="1" x14ac:dyDescent="0.2">
      <c r="N108" s="70"/>
      <c r="O108" s="85"/>
      <c r="P108" s="85"/>
      <c r="Q108" s="238"/>
      <c r="R108" s="142"/>
      <c r="S108" s="76"/>
      <c r="T108" s="76"/>
      <c r="U108" s="76"/>
      <c r="V108" s="76"/>
      <c r="W108" s="76"/>
      <c r="X108" s="142"/>
      <c r="Y108" s="76"/>
      <c r="Z108" s="76"/>
      <c r="AA108" s="76"/>
      <c r="AB108" s="76"/>
      <c r="AC108" s="142"/>
      <c r="AD108" s="82"/>
      <c r="AE108" s="71"/>
      <c r="AF108" s="71"/>
      <c r="AG108" s="71"/>
      <c r="AH108" s="71"/>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row>
    <row r="109" spans="14:62" ht="14.25" customHeight="1" x14ac:dyDescent="0.25">
      <c r="N109" s="70"/>
      <c r="O109" s="85"/>
      <c r="P109" s="85"/>
      <c r="Q109" s="139" t="s">
        <v>656</v>
      </c>
      <c r="R109" s="140"/>
      <c r="S109" s="241"/>
      <c r="T109" s="145"/>
      <c r="U109" s="145"/>
      <c r="V109" s="145"/>
      <c r="W109" s="145"/>
      <c r="X109" s="320"/>
      <c r="Y109" s="145"/>
      <c r="Z109" s="145"/>
      <c r="AA109" s="145"/>
      <c r="AB109" s="145"/>
      <c r="AC109" s="140"/>
      <c r="AD109" s="71"/>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row>
    <row r="110" spans="14:62" ht="14.25" customHeight="1" x14ac:dyDescent="0.25">
      <c r="N110" s="9"/>
      <c r="O110" s="9"/>
      <c r="P110" s="9"/>
      <c r="Q110" s="143"/>
      <c r="R110" s="142"/>
      <c r="S110" s="16"/>
      <c r="T110" s="76"/>
      <c r="U110" s="76"/>
      <c r="V110" s="76"/>
      <c r="W110" s="76"/>
      <c r="X110" s="142"/>
      <c r="Y110" s="76"/>
      <c r="Z110" s="76"/>
      <c r="AA110" s="76"/>
      <c r="AB110" s="76"/>
      <c r="AC110" s="142"/>
      <c r="AD110" s="70"/>
      <c r="AE110" s="70"/>
      <c r="AF110" s="70"/>
      <c r="AG110" s="70"/>
      <c r="AH110" s="70"/>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ht="14.25" customHeight="1" x14ac:dyDescent="0.2">
      <c r="Q111" s="161" t="s">
        <v>22</v>
      </c>
      <c r="R111" s="133" t="s">
        <v>34</v>
      </c>
      <c r="S111" s="45">
        <f>+S97</f>
        <v>2025</v>
      </c>
      <c r="T111" s="8">
        <f t="shared" ref="T111:Z111" si="150">+T97</f>
        <v>2026</v>
      </c>
      <c r="U111" s="8">
        <f t="shared" si="150"/>
        <v>2027</v>
      </c>
      <c r="V111" s="8">
        <f t="shared" si="150"/>
        <v>2028</v>
      </c>
      <c r="W111" s="8">
        <f t="shared" si="150"/>
        <v>2029</v>
      </c>
      <c r="X111" s="133">
        <f t="shared" si="150"/>
        <v>2030</v>
      </c>
      <c r="Y111" s="8">
        <f t="shared" si="150"/>
        <v>2031</v>
      </c>
      <c r="Z111" s="8">
        <f t="shared" si="150"/>
        <v>2032</v>
      </c>
      <c r="AA111" s="8">
        <f t="shared" ref="AA111:AB111" si="151">+AA97</f>
        <v>2033</v>
      </c>
      <c r="AB111" s="8">
        <f t="shared" si="151"/>
        <v>2034</v>
      </c>
      <c r="AC111" s="133" t="s">
        <v>34</v>
      </c>
      <c r="AD111" s="70"/>
      <c r="AE111" s="70"/>
      <c r="AF111" s="70"/>
      <c r="AG111" s="70"/>
      <c r="AH111" s="70"/>
    </row>
    <row r="112" spans="14:62" ht="14.25" customHeight="1" x14ac:dyDescent="0.2">
      <c r="Q112" s="156" t="s">
        <v>74</v>
      </c>
      <c r="R112" s="330">
        <f t="shared" ref="R112:R121" si="152">+AC112</f>
        <v>0</v>
      </c>
      <c r="S112" s="331">
        <f>+SUMIF($O$20:$O$29,Lister!$D$31,S$20:S$29)</f>
        <v>0</v>
      </c>
      <c r="T112" s="334">
        <f>+SUMIF($O$20:$O$29,Lister!$D$31,T$20:T$29)</f>
        <v>0</v>
      </c>
      <c r="U112" s="331">
        <f>+SUMIF($O$20:$O$29,Lister!$D$31,U$20:U$29)</f>
        <v>0</v>
      </c>
      <c r="V112" s="334">
        <f>+SUMIF($O$20:$O$29,Lister!$D$31,V$20:V$29)</f>
        <v>0</v>
      </c>
      <c r="W112" s="331">
        <f>+SUMIF($O$20:$O$29,Lister!$D$31,W$20:W$29)</f>
        <v>0</v>
      </c>
      <c r="X112" s="335">
        <f>+SUMIF($O$20:$O$29,Lister!$D$31,X$20:X$29)</f>
        <v>0</v>
      </c>
      <c r="Y112" s="309">
        <f>+SUMIF($O$20:$O$29,Lister!$D$31,Y$20:Y$29)</f>
        <v>0</v>
      </c>
      <c r="Z112" s="28">
        <f>+SUMIF($O$20:$O$29,Lister!$D$31,Z$20:Z$29)</f>
        <v>0</v>
      </c>
      <c r="AA112" s="28">
        <f>+SUMIF($O$20:$O$29,Lister!$D$31,AA$20:AA$29)</f>
        <v>0</v>
      </c>
      <c r="AB112" s="28">
        <f>+SUMIF($O$20:$O$29,Lister!$D$31,AB$20:AB$29)</f>
        <v>0</v>
      </c>
      <c r="AC112" s="149">
        <f>SUM(S112:Z112)</f>
        <v>0</v>
      </c>
      <c r="AD112" s="70"/>
      <c r="AE112" s="71"/>
      <c r="AF112" s="71"/>
      <c r="AG112" s="71"/>
      <c r="AH112" s="71"/>
    </row>
    <row r="113" spans="17:30" ht="14.25" customHeight="1" x14ac:dyDescent="0.2">
      <c r="Q113" s="157" t="s">
        <v>75</v>
      </c>
      <c r="R113" s="324">
        <f t="shared" si="152"/>
        <v>0</v>
      </c>
      <c r="S113" s="325">
        <f>+SUMIF($O$33:$O$45,Lister!$D$31,S$33:S$45)</f>
        <v>0</v>
      </c>
      <c r="T113" s="336">
        <f>+SUMIF($O$33:$O$45,Lister!$D$31,T$33:T$45)</f>
        <v>0</v>
      </c>
      <c r="U113" s="325">
        <f>+SUMIF($O$33:$O$45,Lister!$D$31,U$33:U$45)</f>
        <v>0</v>
      </c>
      <c r="V113" s="336">
        <f>+SUMIF($O$33:$O$45,Lister!$D$31,V$33:V$45)</f>
        <v>0</v>
      </c>
      <c r="W113" s="325">
        <f>+SUMIF($O$33:$O$45,Lister!$D$31,W$33:W$45)</f>
        <v>0</v>
      </c>
      <c r="X113" s="337">
        <f>+SUMIF($O$33:$O$45,Lister!$D$31,X$33:X$45)</f>
        <v>0</v>
      </c>
      <c r="Y113" s="310">
        <f>+SUMIF($O$33:$O$45,Lister!$D$31,Y$33:Y$45)</f>
        <v>0</v>
      </c>
      <c r="Z113" s="122">
        <f>+SUMIF($O$33:$O$45,Lister!$D$31,Z$33:Z$45)</f>
        <v>0</v>
      </c>
      <c r="AA113" s="122">
        <f>+SUMIF($O$33:$O$45,Lister!$D$31,AA$33:AA$45)</f>
        <v>0</v>
      </c>
      <c r="AB113" s="122">
        <f>+SUMIF($O$33:$O$45,Lister!$D$31,AB$33:AB$45)</f>
        <v>0</v>
      </c>
      <c r="AC113" s="150">
        <f t="shared" ref="AC113:AC116" si="153">SUM(S113:Z113)</f>
        <v>0</v>
      </c>
      <c r="AD113" s="71"/>
    </row>
    <row r="114" spans="17:30" ht="14.25" customHeight="1" x14ac:dyDescent="0.2">
      <c r="Q114" s="158" t="s">
        <v>76</v>
      </c>
      <c r="R114" s="327">
        <f t="shared" si="152"/>
        <v>0</v>
      </c>
      <c r="S114" s="328">
        <f>+S113+S112</f>
        <v>0</v>
      </c>
      <c r="T114" s="328">
        <f t="shared" ref="T114:Z114" si="154">+T113+T112</f>
        <v>0</v>
      </c>
      <c r="U114" s="328">
        <f t="shared" si="154"/>
        <v>0</v>
      </c>
      <c r="V114" s="328">
        <f t="shared" si="154"/>
        <v>0</v>
      </c>
      <c r="W114" s="328">
        <f t="shared" si="154"/>
        <v>0</v>
      </c>
      <c r="X114" s="329">
        <f t="shared" si="154"/>
        <v>0</v>
      </c>
      <c r="Y114" s="311">
        <f t="shared" si="154"/>
        <v>0</v>
      </c>
      <c r="Z114" s="146">
        <f t="shared" si="154"/>
        <v>0</v>
      </c>
      <c r="AA114" s="146">
        <f t="shared" ref="AA114:AB114" si="155">+AA113+AA112</f>
        <v>0</v>
      </c>
      <c r="AB114" s="146">
        <f t="shared" si="155"/>
        <v>0</v>
      </c>
      <c r="AC114" s="147">
        <f t="shared" si="153"/>
        <v>0</v>
      </c>
    </row>
    <row r="115" spans="17:30" ht="14.25" customHeight="1" x14ac:dyDescent="0.2">
      <c r="Q115" s="158" t="s">
        <v>77</v>
      </c>
      <c r="R115" s="327">
        <f t="shared" si="152"/>
        <v>0</v>
      </c>
      <c r="S115" s="328">
        <f>+SUMIF($O$52:$O$64,Lister!$D$31,C$52:C$64)</f>
        <v>0</v>
      </c>
      <c r="T115" s="344">
        <f>+SUMIF($O$52:$O$64,Lister!$D$31,D$52:D$64)</f>
        <v>0</v>
      </c>
      <c r="U115" s="344">
        <f>+SUMIF($O$52:$O$64,Lister!$D$31,E$52:E$64)</f>
        <v>0</v>
      </c>
      <c r="V115" s="344">
        <f>+SUMIF($O$52:$O$64,Lister!$D$31,F$52:F$64)</f>
        <v>0</v>
      </c>
      <c r="W115" s="344">
        <f>+SUMIF($O$52:$O$64,Lister!$D$31,G$52:G$64)</f>
        <v>0</v>
      </c>
      <c r="X115" s="345">
        <f>+SUMIF($O$52:$O$64,Lister!$D$31,H$52:H$64)</f>
        <v>0</v>
      </c>
      <c r="Y115" s="220">
        <f>+SUMIF($O$52:$O$64,Lister!$D$31,I$52:I$64)</f>
        <v>0</v>
      </c>
      <c r="Z115" s="219">
        <f>+SUMIF($O$52:$O$64,Lister!$D$31,J$52:J$64)</f>
        <v>0</v>
      </c>
      <c r="AA115" s="219">
        <f>+SUMIF($O$52:$O$64,Lister!$D$31,K$52:K$64)</f>
        <v>0</v>
      </c>
      <c r="AB115" s="219">
        <f>+SUMIF($O$52:$O$64,Lister!$D$31,L$52:L$64)</f>
        <v>0</v>
      </c>
      <c r="AC115" s="147">
        <f t="shared" si="153"/>
        <v>0</v>
      </c>
    </row>
    <row r="116" spans="17:30" ht="14.25" customHeight="1" x14ac:dyDescent="0.2">
      <c r="Q116" s="158" t="s">
        <v>78</v>
      </c>
      <c r="R116" s="327">
        <f t="shared" si="152"/>
        <v>0</v>
      </c>
      <c r="S116" s="328">
        <f>+S115+S114</f>
        <v>0</v>
      </c>
      <c r="T116" s="346">
        <f t="shared" ref="T116:Z116" si="156">+T115+T114</f>
        <v>0</v>
      </c>
      <c r="U116" s="346">
        <f t="shared" si="156"/>
        <v>0</v>
      </c>
      <c r="V116" s="346">
        <f t="shared" si="156"/>
        <v>0</v>
      </c>
      <c r="W116" s="346">
        <f t="shared" si="156"/>
        <v>0</v>
      </c>
      <c r="X116" s="347">
        <f t="shared" si="156"/>
        <v>0</v>
      </c>
      <c r="Y116" s="155">
        <f t="shared" si="156"/>
        <v>0</v>
      </c>
      <c r="Z116" s="154">
        <f t="shared" si="156"/>
        <v>0</v>
      </c>
      <c r="AA116" s="154">
        <f t="shared" ref="AA116:AB116" si="157">+AA115+AA114</f>
        <v>0</v>
      </c>
      <c r="AB116" s="154">
        <f t="shared" si="157"/>
        <v>0</v>
      </c>
      <c r="AC116" s="147">
        <f t="shared" si="153"/>
        <v>0</v>
      </c>
    </row>
    <row r="117" spans="17:30" ht="14.25" customHeight="1" x14ac:dyDescent="0.2">
      <c r="Q117" s="159" t="s">
        <v>0</v>
      </c>
      <c r="R117" s="327">
        <f t="shared" si="152"/>
        <v>0</v>
      </c>
      <c r="S117" s="162">
        <f>IF(C12=2,S114*C6/100,IF($G$6=Lister!$D$4,(S114*$C$6)/100,IF($G$6=Lister!$D$5,(S116*$C$6)/100,IF($G$6=Lister!$D$6,((S116-SUMIFS(C52:C64,$O$52:$O$64,Lister!$D$31,$A$52:$A$64,Lister!$M$10))*$C$6)/100,IF($G$6=Lister!$D$7,(S115*$C$6)/100,0)))))</f>
        <v>0</v>
      </c>
      <c r="T117" s="340">
        <f>IF(D12=2,T114*D6/100,IF($G$6=Lister!$D$4,(T114*$C$6)/100,IF($G$6=Lister!$D$5,(T116*$C$6)/100,IF($G$6=Lister!$D$6,((T116-SUMIFS(D52:D64,$O$52:$O$64,Lister!$D$31,$A$52:$A$64,Lister!$M$10))*$C$6)/100,IF($G$6=Lister!$D$7,(T115*$C$6)/100,0)))))</f>
        <v>0</v>
      </c>
      <c r="U117" s="340">
        <f>IF(E12=2,U114*E6/100,IF($G$6=Lister!$D$4,(U114*$C$6)/100,IF($G$6=Lister!$D$5,(U116*$C$6)/100,IF($G$6=Lister!$D$6,((U116-SUMIFS(E52:E64,$O$52:$O$64,Lister!$D$31,$A$52:$A$64,Lister!$M$10))*$C$6)/100,IF($G$6=Lister!$D$7,(U115*$C$6)/100,0)))))</f>
        <v>0</v>
      </c>
      <c r="V117" s="340">
        <f>IF(F12=2,V114*F6/100,IF($G$6=Lister!$D$4,(V114*$C$6)/100,IF($G$6=Lister!$D$5,(V116*$C$6)/100,IF($G$6=Lister!$D$6,((V116-SUMIFS(F52:F64,$O$52:$O$64,Lister!$D$31,$A$52:$A$64,Lister!$M$10))*$C$6)/100,IF($G$6=Lister!$D$7,(V115*$C$6)/100,0)))))</f>
        <v>0</v>
      </c>
      <c r="W117" s="340">
        <f>IF(G12=2,W114*G6/100,IF($G$6=Lister!$D$4,(W114*$C$6)/100,IF($G$6=Lister!$D$5,(W116*$C$6)/100,IF($G$6=Lister!$D$6,((W116-SUMIFS(G52:G64,$O$52:$O$64,Lister!$D$31,$A$52:$A$64,Lister!$M$10))*$C$6)/100,IF($G$6=Lister!$D$7,(W115*$C$6)/100,0)))))</f>
        <v>0</v>
      </c>
      <c r="X117" s="341">
        <f>IF(H12=2,X114*H6/100,IF($G$6=Lister!$D$4,(X114*$C$6)/100,IF($G$6=Lister!$D$5,(X116*$C$6)/100,IF($G$6=Lister!$D$6,((X116-SUMIFS(H52:H64,$O$52:$O$64,Lister!$D$31,$A$52:$A$64,Lister!$M$10))*$C$6)/100,IF($G$6=Lister!$D$7,(X115*$C$6)/100,0)))))</f>
        <v>0</v>
      </c>
      <c r="Y117" s="216">
        <f>IF(I12=2,Y114*I6/100,IF($G$6=Lister!$D$4,(Y114*$C$6)/100,IF($G$6=Lister!$D$5,(Y116*$C$6)/100,IF($G$6=Lister!$D$6,((Y116-SUMIFS(I52:I64,$O$52:$O$64,Lister!$D$31,$A$52:$A$64,Lister!$M$10))*$C$6)/100,IF($G$6=Lister!$D$7,(Y115*$C$6)/100,0)))))</f>
        <v>0</v>
      </c>
      <c r="Z117" s="215">
        <f>IF(J12=2,Z114*J6/100,IF($G$6=Lister!$D$4,(Z114*$C$6)/100,IF($G$6=Lister!$D$5,(Z116*$C$6)/100,IF($G$6=Lister!$D$6,((Z116-SUMIFS(J52:J64,$O$52:$O$64,Lister!$D$31,$A$52:$A$64,Lister!$M$10))*$C$6)/100,IF($G$6=Lister!$D$7,(Z115*$C$6)/100,0)))))</f>
        <v>0</v>
      </c>
      <c r="AA117" s="215">
        <f>IF(K12=2,AA114*K6/100,IF($G$6=Lister!$D$4,(AA114*$C$6)/100,IF($G$6=Lister!$D$5,(AA116*$C$6)/100,IF($G$6=Lister!$D$6,((AA116-SUMIFS(K52:K64,$O$52:$O$64,Lister!$D$31,$A$52:$A$64,Lister!$M$10))*$C$6)/100,IF($G$6=Lister!$D$7,(AA115*$C$6)/100,0)))))</f>
        <v>0</v>
      </c>
      <c r="AB117" s="215">
        <f>IF(L12=2,AB114*L6/100,IF($G$6=Lister!$D$4,(AB114*$C$6)/100,IF($G$6=Lister!$D$5,(AB116*$C$6)/100,IF($G$6=Lister!$D$6,((AB116-SUMIFS(L52:L64,$O$52:$O$64,Lister!$D$31,$A$52:$A$64,Lister!$M$10))*$C$6)/100,IF($G$6=Lister!$D$7,(AB115*$C$6)/100,0)))))</f>
        <v>0</v>
      </c>
      <c r="AC117" s="147">
        <f>SUM(S117:Z117)</f>
        <v>0</v>
      </c>
    </row>
    <row r="118" spans="17:30" ht="14.25" customHeight="1" x14ac:dyDescent="0.2">
      <c r="Q118" s="160" t="s">
        <v>103</v>
      </c>
      <c r="R118" s="327">
        <f t="shared" si="152"/>
        <v>0</v>
      </c>
      <c r="S118" s="162">
        <f>+IF($C$8=Lister!$O$5,(SUMIF($O$20:$O$29,Lister!$D$31,C20:C29))*Takstblad!C$81,0)</f>
        <v>0</v>
      </c>
      <c r="T118" s="162">
        <f>+IF($C$8=Lister!$O$5,(SUMIF($O$20:$O$29,Lister!$D$31,D20:D29))*Takstblad!D$81,0)</f>
        <v>0</v>
      </c>
      <c r="U118" s="162">
        <f>+IF($C$8=Lister!$O$5,(SUMIF($O$20:$O$29,Lister!$D$31,E20:E29))*Takstblad!E$81,0)</f>
        <v>0</v>
      </c>
      <c r="V118" s="162">
        <f>+IF($C$8=Lister!$O$5,(SUMIF($O$20:$O$29,Lister!$D$31,F20:F29))*Takstblad!F$81,0)</f>
        <v>0</v>
      </c>
      <c r="W118" s="162">
        <f>+IF($C$8=Lister!$O$5,(SUMIF($O$20:$O$29,Lister!$D$31,G20:G29))*Takstblad!G$81,0)</f>
        <v>0</v>
      </c>
      <c r="X118" s="315">
        <f>+IF($C$8=Lister!$O$5,(SUMIF($O$20:$O$29,Lister!$D$31,H20:H29))*Takstblad!H$81,0)</f>
        <v>0</v>
      </c>
      <c r="Y118" s="312">
        <f>+IF($C$8=Lister!$O$5,(SUMIF($O$20:$O$29,Lister!$D$31,I20:I29))*Takstblad!I$81,0)</f>
        <v>0</v>
      </c>
      <c r="Z118" s="21">
        <f>+IF($C$8=Lister!$O$5,(SUMIF($O$20:$O$29,Lister!$D$31,J20:J29))*Takstblad!J$81,0)</f>
        <v>0</v>
      </c>
      <c r="AA118" s="21">
        <f>+IF($C$8=Lister!$O$5,(SUMIF($O$20:$O$29,Lister!$D$31,K20:K29))*Takstblad!K$81,0)</f>
        <v>0</v>
      </c>
      <c r="AB118" s="21">
        <f>+IF($C$8=Lister!$O$5,(SUMIF($O$20:$O$29,Lister!$D$31,L20:L29))*Takstblad!L$81,0)</f>
        <v>0</v>
      </c>
      <c r="AC118" s="147">
        <f t="shared" ref="AC118:AC121" si="158">SUM(S118:Z118)</f>
        <v>0</v>
      </c>
    </row>
    <row r="119" spans="17:30" ht="14.25" customHeight="1" x14ac:dyDescent="0.2">
      <c r="Q119" s="160" t="s">
        <v>108</v>
      </c>
      <c r="R119" s="327">
        <f t="shared" si="152"/>
        <v>0</v>
      </c>
      <c r="S119" s="162"/>
      <c r="T119" s="164"/>
      <c r="U119" s="164"/>
      <c r="V119" s="164"/>
      <c r="W119" s="164"/>
      <c r="X119" s="323"/>
      <c r="Y119" s="123"/>
      <c r="Z119" s="124"/>
      <c r="AA119" s="124"/>
      <c r="AB119" s="124"/>
      <c r="AC119" s="147">
        <f t="shared" si="158"/>
        <v>0</v>
      </c>
    </row>
    <row r="120" spans="17:30" ht="14.25" customHeight="1" x14ac:dyDescent="0.2">
      <c r="Q120" s="159" t="s">
        <v>545</v>
      </c>
      <c r="R120" s="327">
        <f t="shared" si="152"/>
        <v>0</v>
      </c>
      <c r="S120" s="162" t="str">
        <f>IF($C$12=2,(SUM(S116:S119)*$C$13)/100,"0")</f>
        <v>0</v>
      </c>
      <c r="T120" s="164" t="str">
        <f t="shared" ref="T120:Z120" si="159">IF($C$12=2,(SUM(T116:T119)*$C$13)/100,"0")</f>
        <v>0</v>
      </c>
      <c r="U120" s="164" t="str">
        <f t="shared" si="159"/>
        <v>0</v>
      </c>
      <c r="V120" s="164" t="str">
        <f t="shared" si="159"/>
        <v>0</v>
      </c>
      <c r="W120" s="164" t="str">
        <f t="shared" si="159"/>
        <v>0</v>
      </c>
      <c r="X120" s="323" t="str">
        <f t="shared" si="159"/>
        <v>0</v>
      </c>
      <c r="Y120" s="165" t="str">
        <f t="shared" si="159"/>
        <v>0</v>
      </c>
      <c r="Z120" s="164" t="str">
        <f t="shared" si="159"/>
        <v>0</v>
      </c>
      <c r="AA120" s="164" t="str">
        <f t="shared" ref="AA120:AB120" si="160">IF($C$12=2,(SUM(AA116:AA119)*$C$13)/100,"0")</f>
        <v>0</v>
      </c>
      <c r="AB120" s="164" t="str">
        <f t="shared" si="160"/>
        <v>0</v>
      </c>
      <c r="AC120" s="147">
        <f t="shared" si="158"/>
        <v>0</v>
      </c>
    </row>
    <row r="121" spans="17:30" ht="14.25" customHeight="1" thickBot="1" x14ac:dyDescent="0.25">
      <c r="Q121" s="318" t="s">
        <v>101</v>
      </c>
      <c r="R121" s="348">
        <f t="shared" si="152"/>
        <v>0</v>
      </c>
      <c r="S121" s="349">
        <f>+SUM(S116:S120)</f>
        <v>0</v>
      </c>
      <c r="T121" s="349">
        <f t="shared" ref="T121:Z121" si="161">+SUM(T116:T120)</f>
        <v>0</v>
      </c>
      <c r="U121" s="349">
        <f t="shared" si="161"/>
        <v>0</v>
      </c>
      <c r="V121" s="349">
        <f t="shared" si="161"/>
        <v>0</v>
      </c>
      <c r="W121" s="349">
        <f t="shared" si="161"/>
        <v>0</v>
      </c>
      <c r="X121" s="350">
        <f t="shared" si="161"/>
        <v>0</v>
      </c>
      <c r="Y121" s="314">
        <f t="shared" si="161"/>
        <v>0</v>
      </c>
      <c r="Z121" s="152">
        <f t="shared" si="161"/>
        <v>0</v>
      </c>
      <c r="AA121" s="152">
        <f t="shared" ref="AA121:AB121" si="162">+SUM(AA116:AA120)</f>
        <v>0</v>
      </c>
      <c r="AB121" s="152">
        <f t="shared" si="162"/>
        <v>0</v>
      </c>
      <c r="AC121" s="153">
        <f t="shared" si="158"/>
        <v>0</v>
      </c>
    </row>
    <row r="122" spans="17:30" x14ac:dyDescent="0.2">
      <c r="Q122" s="7"/>
      <c r="R122" s="7"/>
    </row>
    <row r="123" spans="17:30" x14ac:dyDescent="0.2">
      <c r="Q123" s="7"/>
      <c r="R123" s="7"/>
    </row>
    <row r="124" spans="17:30" x14ac:dyDescent="0.2">
      <c r="Q124" s="7"/>
      <c r="R124" s="7"/>
    </row>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sheetData>
  <mergeCells count="35">
    <mergeCell ref="BF19:BG19"/>
    <mergeCell ref="BF32:BG32"/>
    <mergeCell ref="BI19:BJ19"/>
    <mergeCell ref="BI32:BJ32"/>
    <mergeCell ref="AE32:AF32"/>
    <mergeCell ref="AH32:AI32"/>
    <mergeCell ref="AK32:AL32"/>
    <mergeCell ref="AN32:AO32"/>
    <mergeCell ref="AQ32:AR32"/>
    <mergeCell ref="AZ19:BA19"/>
    <mergeCell ref="AZ32:BA32"/>
    <mergeCell ref="BC19:BD19"/>
    <mergeCell ref="BC32:BD32"/>
    <mergeCell ref="AT19:AU19"/>
    <mergeCell ref="AW19:AX19"/>
    <mergeCell ref="AT32:AU32"/>
    <mergeCell ref="AW32:AX3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2">
    <dataValidation type="decimal" operator="lessThan" allowBlank="1" showInputMessage="1" showErrorMessage="1" errorTitle="Too high value" error="Value can't exceed 12 months" sqref="C20:L29 C33:L42" xr:uid="{74AC7A4E-C6C9-41D1-B475-02F8F1C55AA4}">
      <formula1>13</formula1>
    </dataValidation>
    <dataValidation type="date" allowBlank="1" showInputMessage="1" showErrorMessage="1" sqref="H9:I10 D9:D10 C9" xr:uid="{64015D32-90C1-4CA4-A7EF-2CB62D2CE598}">
      <formula1>45292</formula1>
      <formula2>73050</formula2>
    </dataValidation>
  </dataValidations>
  <pageMargins left="0.15748031496062992" right="0.23622047244094491" top="0.27559055118110237" bottom="0.19685039370078741" header="0" footer="0"/>
  <pageSetup paperSize="9" scale="32" fitToWidth="2" orientation="landscape" r:id="rId1"/>
  <headerFooter alignWithMargins="0">
    <oddFooter>&amp;R&amp;A
&amp;D</oddFooter>
  </headerFooter>
  <colBreaks count="1" manualBreakCount="1">
    <brk id="15" max="119" man="1"/>
  </colBreaks>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800-000000000000}">
          <x14:formula1>
            <xm:f>Takstblad!$A$5:$A$30</xm:f>
          </x14:formula1>
          <xm:sqref>A20:A29</xm:sqref>
        </x14:dataValidation>
        <x14:dataValidation type="list" allowBlank="1" showInputMessage="1" xr:uid="{D67023E8-BD93-498F-A62B-0BCE3DC90D84}">
          <x14:formula1>
            <xm:f>Lister!$O$4:$O$5</xm:f>
          </x14:formula1>
          <xm:sqref>C11</xm:sqref>
        </x14:dataValidation>
        <x14:dataValidation type="list" allowBlank="1" showInputMessage="1" showErrorMessage="1" errorTitle="STOP" error="You can only select a value from the list." xr:uid="{1BF59217-1E03-4F2D-9AAC-0E7EAE296A39}">
          <x14:formula1>
            <xm:f>Lister!$I$4:$I$7</xm:f>
          </x14:formula1>
          <xm:sqref>G7:H7</xm:sqref>
        </x14:dataValidation>
        <x14:dataValidation type="list" allowBlank="1" showInputMessage="1" showErrorMessage="1" errorTitle="Information" error="Please choose a department from the list" xr:uid="{00000000-0002-0000-0800-000004000000}">
          <x14:formula1>
            <xm:f>Lister!$A$4:$A$16</xm:f>
          </x14:formula1>
          <xm:sqref>C2</xm:sqref>
        </x14:dataValidation>
        <x14:dataValidation type="list" allowBlank="1" showInputMessage="1" showErrorMessage="1" xr:uid="{8F995BBB-0376-4FA4-B22A-97F58DD26AC7}">
          <x14:formula1>
            <xm:f>Lister!$M$4:$M$16</xm:f>
          </x14:formula1>
          <xm:sqref>A52:A62</xm:sqref>
        </x14:dataValidation>
        <x14:dataValidation type="list" errorStyle="warning" allowBlank="1" showInputMessage="1" showErrorMessage="1" errorTitle="Are you sure" error="You are about to select a number of hours that is not on the list. Are you sure you want to continue?" xr:uid="{7A3B6FB7-F5C6-4C7C-B879-9D872E102265}">
          <x14:formula1>
            <xm:f>Lister!$F$4:$F$10</xm:f>
          </x14:formula1>
          <xm:sqref>C7</xm:sqref>
        </x14:dataValidation>
        <x14:dataValidation type="list" allowBlank="1" showInputMessage="1" showErrorMessage="1" errorTitle="STOP" error="You can only select a value from the list." xr:uid="{39DD1EBD-6A8F-4BA3-AE4C-262F468F6EC1}">
          <x14:formula1>
            <xm:f>Lister!$A$32:$A$33</xm:f>
          </x14:formula1>
          <xm:sqref>H8 H15</xm:sqref>
        </x14:dataValidation>
        <x14:dataValidation type="list" allowBlank="1" showInputMessage="1" showErrorMessage="1" errorTitle="STOP" error="You can only select a value from the list." xr:uid="{110B3F26-C9AA-4C6C-88A4-752AF05D4E97}">
          <x14:formula1>
            <xm:f>Lister!$A$41:$A$42</xm:f>
          </x14:formula1>
          <xm:sqref>C12</xm:sqref>
        </x14:dataValidation>
        <x14:dataValidation type="list" errorStyle="warning" allowBlank="1" showErrorMessage="1" errorTitle="Are you sure" error="You are about to select an EBIT that is different from 10. Are you sure you want to continue?" xr:uid="{62B4FA47-CFF3-46BF-9EFA-8DC03032529F}">
          <x14:formula1>
            <xm:f>Lister!$A$45:$A$45</xm:f>
          </x14:formula1>
          <xm:sqref>C13</xm:sqref>
        </x14:dataValidation>
        <x14:dataValidation type="list" errorStyle="information" allowBlank="1" showInputMessage="1" xr:uid="{6A705A4D-7B59-4463-89A0-FDFCC25C4BEF}">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16273B8B-3480-484D-B674-E1BC18EE20D7}">
          <x14:formula1>
            <xm:f>Lister!$A$32:$A$33</xm:f>
          </x14:formula1>
          <xm:sqref>C14:C16</xm:sqref>
        </x14:dataValidation>
        <x14:dataValidation type="list" allowBlank="1" showInputMessage="1" xr:uid="{D8085336-FC60-4764-B5D3-172E6B89172A}">
          <x14:formula1>
            <xm:f>Lister!$O$4:$O$6</xm:f>
          </x14:formula1>
          <xm:sqref>C8:D8</xm:sqref>
        </x14:dataValidation>
        <x14:dataValidation type="list" allowBlank="1" showInputMessage="1" showErrorMessage="1" xr:uid="{0F074F6D-BD91-486B-9AA5-050E9147AF0E}">
          <x14:formula1>
            <xm:f>Lister!$I$4:$I$7</xm:f>
          </x14:formula1>
          <xm:sqref>M9:M10</xm:sqref>
        </x14:dataValidation>
        <x14:dataValidation type="list" allowBlank="1" showInputMessage="1" showErrorMessage="1" errorTitle="STOP" error="You can only select a value from the list." xr:uid="{98475C38-D6A8-4995-8B3A-6BA9C51F4915}">
          <x14:formula1>
            <xm:f>Lister!$D$29:$D$32</xm:f>
          </x14:formula1>
          <xm:sqref>O20:P29 O33:P42 O52:P62</xm:sqref>
        </x14:dataValidation>
        <x14:dataValidation type="list" errorStyle="warning" allowBlank="1" showInputMessage="1" showErrorMessage="1" errorTitle="Are you sure" error="You are about to select an overhead rate that is not on the list. Are you sure you want to continue?" xr:uid="{05E70EEE-5759-45E0-8EDE-6DEFC1D51E17}">
          <x14:formula1>
            <xm:f>Lister!$D$37:$D$43</xm:f>
          </x14:formula1>
          <xm:sqref>C6</xm:sqref>
        </x14:dataValidation>
        <x14:dataValidation type="list" allowBlank="1" showInputMessage="1" showErrorMessage="1" xr:uid="{61532F72-87B8-4229-A2A8-218BFDFBA459}">
          <x14:formula1>
            <xm:f>Takstblad!$A$33:$A$42</xm:f>
          </x14:formula1>
          <xm:sqref>A33:A42</xm:sqref>
        </x14:dataValidation>
        <x14:dataValidation type="list" allowBlank="1" showInputMessage="1" showErrorMessage="1" errorTitle="STOP" error="You can only select a value from the list." xr:uid="{E50991F3-6BFB-4924-A6EF-50C5AEC06C39}">
          <x14:formula1>
            <xm:f>Lister!$D$4:$D$7</xm:f>
          </x14:formula1>
          <xm:sqref>G6:H6</xm:sqref>
        </x14:dataValidation>
        <x14:dataValidation type="list" allowBlank="1" showInputMessage="1" xr:uid="{3B59E89A-B5E5-4CEC-B39F-C2314FFAFA76}">
          <x14:formula1>
            <xm:f>Lister!$A$53:$A$54</xm:f>
          </x14:formula1>
          <xm:sqref>C10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7">
    <tabColor theme="8" tint="0.59999389629810485"/>
  </sheetPr>
  <dimension ref="A1:BN142"/>
  <sheetViews>
    <sheetView showGridLines="0" showZeros="0" zoomScale="80" zoomScaleNormal="80" workbookViewId="0">
      <pane xSplit="2" ySplit="17" topLeftCell="C18" activePane="bottomRight" state="frozen"/>
      <selection activeCell="D30" sqref="D30:E30"/>
      <selection pane="topRight" activeCell="D30" sqref="D30:E30"/>
      <selection pane="bottomLeft" activeCell="D30" sqref="D30:E30"/>
      <selection pane="bottomRight" activeCell="C2" sqref="C2"/>
    </sheetView>
  </sheetViews>
  <sheetFormatPr defaultColWidth="16.875" defaultRowHeight="12.75" outlineLevelCol="1" x14ac:dyDescent="0.2"/>
  <cols>
    <col min="1" max="1" width="53.625" style="7" customWidth="1"/>
    <col min="2" max="2" width="11.75" style="7" hidden="1" customWidth="1"/>
    <col min="3" max="8" width="11.75" style="7" customWidth="1"/>
    <col min="9" max="12" width="11.75" style="7" hidden="1" customWidth="1" outlineLevel="1"/>
    <col min="13" max="13" width="39.625" style="7" customWidth="1" collapsed="1"/>
    <col min="14" max="14" width="26.875" style="7" customWidth="1"/>
    <col min="15" max="15" width="32.875" style="7" customWidth="1"/>
    <col min="16" max="16" width="6" style="7" customWidth="1"/>
    <col min="17" max="18" width="25.25" style="6" customWidth="1"/>
    <col min="19" max="24" width="12.75" style="7" customWidth="1"/>
    <col min="25" max="29" width="12.75" style="7" hidden="1" customWidth="1" outlineLevel="1"/>
    <col min="30" max="30" width="4.25" style="7" customWidth="1" collapsed="1"/>
    <col min="31" max="31" width="10.875" style="7" bestFit="1" customWidth="1"/>
    <col min="32" max="32" width="14.875" style="7" bestFit="1" customWidth="1"/>
    <col min="33" max="33" width="1.75" style="7" customWidth="1"/>
    <col min="34" max="34" width="10.875" style="7" bestFit="1" customWidth="1"/>
    <col min="35" max="35" width="14.875" style="7" bestFit="1" customWidth="1"/>
    <col min="36" max="36" width="1.75" style="7" customWidth="1"/>
    <col min="37" max="37" width="10.875" style="7" bestFit="1" customWidth="1"/>
    <col min="38" max="38" width="14.875" style="7" bestFit="1" customWidth="1"/>
    <col min="39" max="39" width="1.75" style="7" customWidth="1"/>
    <col min="40" max="40" width="10.875" style="7" bestFit="1" customWidth="1"/>
    <col min="41" max="41" width="14.875" style="7" bestFit="1" customWidth="1"/>
    <col min="42" max="42" width="1.75" style="7" customWidth="1"/>
    <col min="43" max="43" width="10.875" style="7" bestFit="1" customWidth="1"/>
    <col min="44" max="44" width="14.875" style="7" bestFit="1" customWidth="1"/>
    <col min="45" max="45" width="1.75" style="7" customWidth="1"/>
    <col min="46" max="46" width="10.875" style="7" bestFit="1" customWidth="1"/>
    <col min="47" max="47" width="14.875" style="7" bestFit="1" customWidth="1"/>
    <col min="48" max="48" width="1.75" style="7" customWidth="1"/>
    <col min="49" max="49" width="10.875" style="7" bestFit="1" customWidth="1"/>
    <col min="50" max="50" width="14.875" style="7" bestFit="1" customWidth="1"/>
    <col min="51" max="51" width="1.75" style="7" customWidth="1"/>
    <col min="52" max="52" width="10.875" style="7" hidden="1" customWidth="1" outlineLevel="1"/>
    <col min="53" max="53" width="14.875" style="7" hidden="1" customWidth="1" outlineLevel="1"/>
    <col min="54" max="54" width="1.75" style="7" hidden="1" customWidth="1" outlineLevel="1"/>
    <col min="55" max="55" width="10.875" style="7" hidden="1" customWidth="1" outlineLevel="1"/>
    <col min="56" max="56" width="14.875" style="7" hidden="1" customWidth="1" outlineLevel="1"/>
    <col min="57" max="57" width="1.75" style="7" hidden="1" customWidth="1" outlineLevel="1"/>
    <col min="58" max="58" width="10.875" style="7" hidden="1" customWidth="1" outlineLevel="1"/>
    <col min="59" max="59" width="14.875" style="7" hidden="1" customWidth="1" outlineLevel="1"/>
    <col min="60" max="60" width="1.75" style="7" hidden="1" customWidth="1" outlineLevel="1"/>
    <col min="61" max="61" width="10.875" style="7" hidden="1" customWidth="1" outlineLevel="1"/>
    <col min="62" max="62" width="14.875" style="7" hidden="1" customWidth="1" outlineLevel="1"/>
    <col min="63" max="63" width="16.875" style="7" collapsed="1"/>
    <col min="64" max="16384" width="16.875" style="7"/>
  </cols>
  <sheetData>
    <row r="1" spans="1:62" s="5" customFormat="1" ht="22.15" customHeight="1" x14ac:dyDescent="0.25">
      <c r="A1" s="40" t="s">
        <v>28</v>
      </c>
      <c r="B1" s="7"/>
      <c r="E1" s="359" t="s">
        <v>786</v>
      </c>
      <c r="I1" s="7"/>
      <c r="N1" s="359"/>
      <c r="Q1" s="16"/>
      <c r="R1" s="16"/>
    </row>
    <row r="2" spans="1:62" s="5" customFormat="1" ht="15.6" customHeight="1" x14ac:dyDescent="0.2">
      <c r="A2" s="360" t="s">
        <v>160</v>
      </c>
      <c r="B2" s="7"/>
      <c r="C2" s="291"/>
      <c r="D2" s="359"/>
      <c r="E2" s="359" t="s">
        <v>32</v>
      </c>
      <c r="I2" s="7"/>
      <c r="M2" s="364"/>
      <c r="N2" s="359"/>
      <c r="O2" s="359"/>
      <c r="P2" s="359"/>
      <c r="Q2" s="16"/>
      <c r="R2" s="16"/>
    </row>
    <row r="3" spans="1:62" s="5" customFormat="1" ht="15.6" customHeight="1" thickBot="1" x14ac:dyDescent="0.25">
      <c r="A3" s="360" t="s">
        <v>151</v>
      </c>
      <c r="B3" s="7"/>
      <c r="C3" s="495" t="str">
        <f>+'B1'!C3</f>
        <v>EU Horizon RIA ECE PhD Example</v>
      </c>
      <c r="D3" s="496"/>
      <c r="E3" s="496"/>
      <c r="F3" s="496"/>
      <c r="G3" s="496"/>
      <c r="H3" s="497"/>
      <c r="I3" s="69"/>
      <c r="J3" s="374"/>
      <c r="K3" s="374"/>
      <c r="L3" s="374"/>
      <c r="M3" s="188"/>
      <c r="N3" s="188"/>
      <c r="O3" s="372"/>
      <c r="P3" s="372"/>
      <c r="Q3" s="177"/>
      <c r="R3" s="177"/>
      <c r="S3" s="365"/>
      <c r="T3" s="188"/>
      <c r="U3" s="373"/>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60" t="s">
        <v>792</v>
      </c>
      <c r="B4" s="7"/>
      <c r="C4" s="498" t="str">
        <f>+'B1'!C4</f>
        <v>NN ECE</v>
      </c>
      <c r="D4" s="499"/>
      <c r="E4" s="499"/>
      <c r="F4" s="499"/>
      <c r="G4" s="499"/>
      <c r="H4" s="500"/>
      <c r="I4" s="69"/>
      <c r="J4" s="356"/>
      <c r="K4" s="356"/>
      <c r="L4" s="375"/>
      <c r="M4" s="352" t="s">
        <v>604</v>
      </c>
      <c r="N4" s="353">
        <f>IFERROR((R79-R74+R102-R116)/(R74-R102+R116),0)</f>
        <v>0</v>
      </c>
      <c r="O4" s="372"/>
      <c r="P4" s="372"/>
      <c r="Q4" s="177"/>
      <c r="R4" s="177"/>
      <c r="S4"/>
      <c r="T4" s="188"/>
      <c r="U4" s="373"/>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60" t="s">
        <v>659</v>
      </c>
      <c r="B5" s="7"/>
      <c r="C5" s="498"/>
      <c r="D5" s="499"/>
      <c r="E5" s="499"/>
      <c r="F5" s="499"/>
      <c r="G5" s="499"/>
      <c r="H5" s="500"/>
      <c r="I5" s="69"/>
      <c r="J5" s="356"/>
      <c r="K5" s="356"/>
      <c r="L5" s="376"/>
      <c r="M5" s="354" t="s">
        <v>660</v>
      </c>
      <c r="N5" s="355">
        <f>IFERROR((AC116/AC58),0)</f>
        <v>0</v>
      </c>
      <c r="O5" s="365"/>
      <c r="P5" s="365"/>
      <c r="Q5" s="177"/>
      <c r="R5" s="177"/>
      <c r="S5" s="188"/>
      <c r="T5" s="188"/>
      <c r="U5" s="373"/>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60" t="s">
        <v>29</v>
      </c>
      <c r="B6" s="7"/>
      <c r="C6" s="292">
        <f>IFERROR(IF(C12=Lister!A42,110,IF(C8=Lister!O5,5,VLOOKUP(C5,Lister!I20:O45,5,FALSE))),0)</f>
        <v>0</v>
      </c>
      <c r="D6" s="512" t="s">
        <v>31</v>
      </c>
      <c r="E6" s="513"/>
      <c r="F6" s="513"/>
      <c r="G6" s="516" t="str">
        <f>IFERROR(VLOOKUP(C5,Lister!I19:S45,9,FALSE),"Salary and operations")</f>
        <v>Salary and operations</v>
      </c>
      <c r="H6" s="521"/>
      <c r="I6" s="75"/>
      <c r="J6" s="356"/>
      <c r="K6" s="356"/>
      <c r="L6" s="376"/>
      <c r="M6" s="354" t="s">
        <v>725</v>
      </c>
      <c r="N6" s="355">
        <f>IFERROR(AC93/AC63,0)</f>
        <v>0</v>
      </c>
      <c r="O6" s="365"/>
      <c r="P6" s="365"/>
      <c r="Q6" s="177"/>
      <c r="R6" s="377"/>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60" t="s">
        <v>30</v>
      </c>
      <c r="B7" s="7"/>
      <c r="C7" s="292">
        <f>IFERROR(IF(C12=Lister!A42,1460,VLOOKUP(C5,Lister!I20:M45,3,FALSE)),0)</f>
        <v>0</v>
      </c>
      <c r="D7" s="504" t="s">
        <v>803</v>
      </c>
      <c r="E7" s="505"/>
      <c r="F7" s="506"/>
      <c r="G7" s="516" t="str">
        <f>IFERROR(VLOOKUP(C5,Lister!I19:S45,11,FALSE),"Salary and operations")</f>
        <v>Salary and operations</v>
      </c>
      <c r="H7" s="521"/>
      <c r="I7" s="72"/>
      <c r="J7" s="356"/>
      <c r="K7" s="356"/>
      <c r="L7" s="356"/>
      <c r="M7" s="356"/>
      <c r="N7" s="357"/>
      <c r="O7" s="365"/>
      <c r="P7" s="365"/>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498" t="str">
        <f>IFERROR((VLOOKUP(C5,Lister!I20:O45,7,FALSE)),"None")</f>
        <v>None</v>
      </c>
      <c r="D8" s="500"/>
      <c r="E8" s="4" t="s">
        <v>544</v>
      </c>
      <c r="F8" s="4"/>
      <c r="G8" s="366"/>
      <c r="H8" s="296"/>
      <c r="I8" s="69"/>
      <c r="J8" s="374"/>
      <c r="K8" s="374"/>
      <c r="L8" s="374"/>
      <c r="M8" s="4"/>
      <c r="N8" s="365"/>
      <c r="O8" s="365"/>
      <c r="P8" s="365"/>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61" t="s">
        <v>1137</v>
      </c>
      <c r="B9" s="232"/>
      <c r="C9" s="351">
        <f>+'B1'!C9</f>
        <v>0</v>
      </c>
      <c r="D9" s="367"/>
      <c r="E9" s="361"/>
      <c r="F9" s="361"/>
      <c r="G9" s="369" t="s">
        <v>1138</v>
      </c>
      <c r="H9" s="351">
        <f>+'B1'!H9</f>
        <v>0</v>
      </c>
      <c r="I9" s="271"/>
      <c r="J9" s="374"/>
      <c r="K9" s="374"/>
      <c r="L9" s="374"/>
      <c r="M9" s="365"/>
      <c r="N9" s="365"/>
      <c r="O9" s="365"/>
      <c r="P9" s="365"/>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1325</v>
      </c>
      <c r="B10" s="232"/>
      <c r="C10" s="293" t="str">
        <f>+IF(C2="FOOD","Yes","No")</f>
        <v>No</v>
      </c>
      <c r="D10" s="368"/>
      <c r="E10" s="361"/>
      <c r="F10" s="361"/>
      <c r="G10" s="369"/>
      <c r="H10" s="370"/>
      <c r="I10" s="117"/>
      <c r="J10" s="374"/>
      <c r="K10" s="374"/>
      <c r="L10" s="374"/>
      <c r="M10" s="371"/>
      <c r="N10" s="365"/>
      <c r="O10" s="365"/>
      <c r="P10" s="365"/>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149999999999999" customHeight="1" thickBot="1" x14ac:dyDescent="0.3">
      <c r="A11" s="362" t="s">
        <v>1313</v>
      </c>
      <c r="B11" s="273"/>
      <c r="C11" s="397"/>
      <c r="D11" s="398"/>
      <c r="E11" s="398"/>
      <c r="F11" s="398"/>
      <c r="G11" s="399"/>
      <c r="H11" s="399"/>
      <c r="I11" s="274"/>
      <c r="J11" s="379"/>
      <c r="K11" s="379"/>
      <c r="L11" s="379"/>
      <c r="M11" s="380"/>
      <c r="N11" s="380"/>
      <c r="O11" s="381"/>
      <c r="P11" s="382"/>
      <c r="Q11" s="383"/>
      <c r="R11" s="38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row>
    <row r="12" spans="1:62" s="5" customFormat="1" ht="15.6" customHeight="1" x14ac:dyDescent="0.2">
      <c r="A12" s="116" t="s">
        <v>804</v>
      </c>
      <c r="B12" s="7"/>
      <c r="C12" s="294"/>
      <c r="D12" s="505"/>
      <c r="E12" s="505"/>
      <c r="F12" s="505"/>
      <c r="G12" s="505"/>
      <c r="H12" s="400"/>
      <c r="I12" s="69"/>
      <c r="J12" s="518"/>
      <c r="K12" s="519"/>
      <c r="L12" s="519"/>
      <c r="M12" s="519"/>
      <c r="N12" s="519"/>
      <c r="O12" s="520"/>
      <c r="P12" s="384"/>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545</v>
      </c>
      <c r="B13" s="7"/>
      <c r="C13" s="295">
        <f>+IF(C12=2,10,0)</f>
        <v>0</v>
      </c>
      <c r="D13" s="504"/>
      <c r="E13" s="505"/>
      <c r="F13" s="505"/>
      <c r="G13" s="505"/>
      <c r="H13" s="401"/>
      <c r="I13" s="86"/>
      <c r="J13" s="404"/>
      <c r="K13" s="404"/>
      <c r="L13" s="404"/>
      <c r="M13" s="404"/>
      <c r="N13" s="404"/>
      <c r="O13" s="405"/>
      <c r="P13" s="404"/>
      <c r="Q13" s="388"/>
      <c r="R13" s="388"/>
      <c r="S13" s="388" t="s">
        <v>657</v>
      </c>
      <c r="T13" s="388"/>
      <c r="U13" s="388"/>
      <c r="V13" s="388"/>
      <c r="W13" s="388"/>
      <c r="X13" s="3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547</v>
      </c>
      <c r="B14" s="9"/>
      <c r="C14" s="295"/>
      <c r="D14" s="507" t="s">
        <v>765</v>
      </c>
      <c r="E14" s="508"/>
      <c r="F14" s="508"/>
      <c r="G14" s="508"/>
      <c r="H14" s="509"/>
      <c r="I14" s="297"/>
      <c r="J14" s="389"/>
      <c r="K14" s="390"/>
      <c r="L14" s="404"/>
      <c r="M14" s="404"/>
      <c r="N14" s="404"/>
      <c r="O14" s="405"/>
      <c r="P14" s="404"/>
      <c r="Q14" s="388"/>
      <c r="R14" s="388"/>
      <c r="S14" s="388"/>
      <c r="T14" s="388"/>
      <c r="U14" s="388"/>
      <c r="V14" s="388"/>
      <c r="W14" s="388"/>
      <c r="X14" s="3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548</v>
      </c>
      <c r="B15" s="7"/>
      <c r="C15" s="295"/>
      <c r="D15" s="403"/>
      <c r="E15" s="391"/>
      <c r="F15" s="391"/>
      <c r="G15" s="391"/>
      <c r="H15" s="391"/>
      <c r="I15" s="261"/>
      <c r="J15" s="391"/>
      <c r="K15" s="391"/>
      <c r="L15" s="384"/>
      <c r="M15" s="404"/>
      <c r="N15" s="404"/>
      <c r="O15" s="405"/>
      <c r="P15" s="404"/>
      <c r="Q15" s="388"/>
      <c r="R15" s="388"/>
      <c r="S15" s="388"/>
      <c r="T15" s="388"/>
      <c r="U15" s="388"/>
      <c r="V15" s="388"/>
      <c r="W15" s="388"/>
      <c r="X15" s="3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805</v>
      </c>
      <c r="B16" s="7"/>
      <c r="C16" s="295"/>
      <c r="D16" s="507" t="s">
        <v>766</v>
      </c>
      <c r="E16" s="510"/>
      <c r="F16" s="510"/>
      <c r="G16" s="510"/>
      <c r="H16" s="511"/>
      <c r="I16" s="298"/>
      <c r="J16" s="389"/>
      <c r="K16" s="390"/>
      <c r="L16" s="392"/>
      <c r="M16" s="392"/>
      <c r="N16" s="392"/>
      <c r="O16" s="393"/>
      <c r="P16" s="394"/>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ht="15.6" customHeight="1" thickBot="1" x14ac:dyDescent="0.3">
      <c r="A17" s="363"/>
      <c r="B17" s="117"/>
      <c r="C17" s="257"/>
      <c r="D17" s="118"/>
      <c r="E17" s="258"/>
      <c r="F17" s="258"/>
      <c r="G17" s="258"/>
      <c r="H17" s="259"/>
      <c r="I17" s="259"/>
      <c r="J17" s="259"/>
      <c r="K17" s="259"/>
      <c r="L17" s="259"/>
      <c r="M17" s="259"/>
      <c r="N17" s="259"/>
      <c r="O17" s="260"/>
      <c r="P17" s="126"/>
      <c r="Q17" s="71"/>
      <c r="R17" s="71"/>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row>
    <row r="18" spans="1:62" ht="15.6" customHeight="1" x14ac:dyDescent="0.2">
      <c r="A18" s="63"/>
      <c r="D18" s="9"/>
      <c r="V18" s="240" t="s">
        <v>658</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3" t="s">
        <v>34</v>
      </c>
      <c r="AF19" s="502"/>
      <c r="AH19" s="501">
        <f>+S19</f>
        <v>2025</v>
      </c>
      <c r="AI19" s="502"/>
      <c r="AJ19" s="232"/>
      <c r="AK19" s="503">
        <f>+T19</f>
        <v>2026</v>
      </c>
      <c r="AL19" s="502"/>
      <c r="AM19" s="232"/>
      <c r="AN19" s="503">
        <f>+U19</f>
        <v>2027</v>
      </c>
      <c r="AO19" s="502"/>
      <c r="AQ19" s="503">
        <f>+V19</f>
        <v>2028</v>
      </c>
      <c r="AR19" s="502"/>
      <c r="AS19" s="232"/>
      <c r="AT19" s="503">
        <f>+W19</f>
        <v>2029</v>
      </c>
      <c r="AU19" s="502"/>
      <c r="AW19" s="503">
        <f>+X19</f>
        <v>2030</v>
      </c>
      <c r="AX19" s="502"/>
      <c r="AY19" s="232"/>
      <c r="AZ19" s="503">
        <f>Y19</f>
        <v>2031</v>
      </c>
      <c r="BA19" s="502"/>
      <c r="BB19" s="232"/>
      <c r="BC19" s="503">
        <f>+Z19</f>
        <v>2032</v>
      </c>
      <c r="BD19" s="502"/>
      <c r="BE19" s="232"/>
      <c r="BF19" s="503">
        <f>+AA19</f>
        <v>2033</v>
      </c>
      <c r="BG19" s="502"/>
      <c r="BH19" s="232"/>
      <c r="BI19" s="503">
        <f>+AB19</f>
        <v>2034</v>
      </c>
      <c r="BJ19" s="502"/>
    </row>
    <row r="20" spans="1:62" ht="15.6" customHeight="1" x14ac:dyDescent="0.2">
      <c r="A20" s="223" t="s">
        <v>1314</v>
      </c>
      <c r="B20" s="224" t="str">
        <f>+VLOOKUP(A20,Takstblad!$A$5:$B$30,2,FALSE)</f>
        <v/>
      </c>
      <c r="C20" s="299"/>
      <c r="D20" s="299"/>
      <c r="E20" s="299"/>
      <c r="F20" s="299"/>
      <c r="G20" s="299"/>
      <c r="H20" s="299"/>
      <c r="I20" s="299"/>
      <c r="J20" s="299"/>
      <c r="K20" s="299"/>
      <c r="L20" s="299"/>
      <c r="M20" s="19">
        <f>SUM(C20:L20)</f>
        <v>0</v>
      </c>
      <c r="N20" s="299"/>
      <c r="O20" s="299" t="s">
        <v>113</v>
      </c>
      <c r="P20" s="223"/>
      <c r="Q20" s="225"/>
      <c r="R20" s="227">
        <f>+AC20</f>
        <v>0</v>
      </c>
      <c r="S20" s="226">
        <f>+IFERROR(IF(S$19=Takstblad!C$3,VLOOKUP('B3'!$A20,takstblad,3,FALSE)*'B3'!C20,"fejl i år"),0)</f>
        <v>0</v>
      </c>
      <c r="T20" s="226">
        <f>+IFERROR(IF(T$19=Takstblad!D$3,VLOOKUP('B3'!$A20,takstblad,4,FALSE)*'B3'!D20,"fejl i år"),0)</f>
        <v>0</v>
      </c>
      <c r="U20" s="226">
        <f>+IFERROR(IF(U$19=Takstblad!E$3,VLOOKUP('B3'!$A20,takstblad,5,FALSE)*'B3'!E20,"fejl i år"),0)</f>
        <v>0</v>
      </c>
      <c r="V20" s="226">
        <f>+IFERROR(IF(V$19=Takstblad!F$3,VLOOKUP('B3'!$A20,takstblad,6,FALSE)*'B3'!F20,"fejl i år"),0)</f>
        <v>0</v>
      </c>
      <c r="W20" s="226">
        <f>+IFERROR(IF(W$19=Takstblad!G$3,VLOOKUP('B3'!$A20,takstblad,7,FALSE)*'B3'!G20,"fejl i år"),0)</f>
        <v>0</v>
      </c>
      <c r="X20" s="226">
        <f>+IFERROR(IF(X$19=Takstblad!H$3,VLOOKUP('B3'!$A20,takstblad,8,FALSE)*'B3'!H20,"fejl i år"),0)</f>
        <v>0</v>
      </c>
      <c r="Y20" s="226">
        <f>+IFERROR(IF(Y$19=Takstblad!I$3,VLOOKUP('B3'!$A20,takstblad,9,FALSE)*'B3'!I20,"fejl i år"),0)</f>
        <v>0</v>
      </c>
      <c r="Z20" s="226">
        <f>+IFERROR(IF(Z$19=Takstblad!J$3,VLOOKUP('B3'!$A20,takstblad,10,FALSE)*'B3'!J20,"fejl i år"),0)</f>
        <v>0</v>
      </c>
      <c r="AA20" s="226">
        <f>+IFERROR(IF(AA$19=Takstblad!K$3,VLOOKUP('B3'!$A20,takstblad,10,FALSE)*'B3'!K20,"fejl i år"),0)</f>
        <v>0</v>
      </c>
      <c r="AB20" s="226">
        <f>+IFERROR(IF(AB$19=Takstblad!L$3,VLOOKUP('B3'!$A20,takstblad,10,FALSE)*'B3'!L20,"fejl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1314</v>
      </c>
      <c r="B21" s="4" t="str">
        <f>+VLOOKUP(A21,Takstblad!$A$5:$B$30,2,FALSE)</f>
        <v/>
      </c>
      <c r="C21" s="299"/>
      <c r="D21" s="299"/>
      <c r="E21" s="299"/>
      <c r="F21" s="299"/>
      <c r="G21" s="299"/>
      <c r="H21" s="299"/>
      <c r="I21" s="299"/>
      <c r="J21" s="299"/>
      <c r="K21" s="299"/>
      <c r="L21" s="299"/>
      <c r="M21" s="19">
        <f t="shared" ref="M21:M29" si="6">SUM(C21:L21)</f>
        <v>0</v>
      </c>
      <c r="N21" s="299"/>
      <c r="O21" s="299" t="s">
        <v>113</v>
      </c>
      <c r="Q21" s="24"/>
      <c r="R21" s="21">
        <f t="shared" ref="R21:R30" si="7">+AC21</f>
        <v>0</v>
      </c>
      <c r="S21" s="25">
        <f>+IFERROR(IF(S$19=Takstblad!C$3,VLOOKUP('B3'!$A21,takstblad,3,FALSE)*'B3'!C21,"fejl i år"),0)</f>
        <v>0</v>
      </c>
      <c r="T21" s="25">
        <f>+IFERROR(IF(T$19=Takstblad!D$3,VLOOKUP('B3'!$A21,takstblad,4,FALSE)*'B3'!D21,"fejl i år"),0)</f>
        <v>0</v>
      </c>
      <c r="U21" s="25">
        <f>+IFERROR(IF(U$19=Takstblad!E$3,VLOOKUP('B3'!$A21,takstblad,5,FALSE)*'B3'!E21,"fejl i år"),0)</f>
        <v>0</v>
      </c>
      <c r="V21" s="25">
        <f>+IFERROR(IF(V$19=Takstblad!F$3,VLOOKUP('B3'!$A21,takstblad,6,FALSE)*'B3'!F21,"fejl i år"),0)</f>
        <v>0</v>
      </c>
      <c r="W21" s="25">
        <f>+IFERROR(IF(W$19=Takstblad!G$3,VLOOKUP('B3'!$A21,takstblad,7,FALSE)*'B3'!G21,"fejl i år"),0)</f>
        <v>0</v>
      </c>
      <c r="X21" s="25">
        <f>+IFERROR(IF(X$19=Takstblad!H$3,VLOOKUP('B3'!$A21,takstblad,8,FALSE)*'B3'!H21,"fejl i år"),0)</f>
        <v>0</v>
      </c>
      <c r="Y21" s="25">
        <f>+IFERROR(IF(Y$19=Takstblad!I$3,VLOOKUP('B3'!$A21,takstblad,9,FALSE)*'B3'!I21,"fejl i år"),0)</f>
        <v>0</v>
      </c>
      <c r="Z21" s="25">
        <f>+IFERROR(IF(Z$19=Takstblad!J$3,VLOOKUP('B3'!$A21,takstblad,10,FALSE)*'B3'!J21,"fejl i år"),0)</f>
        <v>0</v>
      </c>
      <c r="AA21" s="25">
        <f>+IFERROR(IF(AA$19=Takstblad!K$3,VLOOKUP('B3'!$A21,takstblad,10,FALSE)*'B3'!K21,"fejl i år"),0)</f>
        <v>0</v>
      </c>
      <c r="AB21" s="25">
        <f>+IFERROR(IF(AB$19=Takstblad!L$3,VLOOKUP('B3'!$A21,takstblad,10,FALSE)*'B3'!L21,"fejl i år"),0)</f>
        <v>0</v>
      </c>
      <c r="AC21" s="21">
        <f t="shared" ref="AC21:AC30" si="8">SUM(S21:AB21)</f>
        <v>0</v>
      </c>
      <c r="AD21" s="232"/>
      <c r="AE21" s="25">
        <f t="shared" ref="AE21:AE29" si="9">+M21*($C$7/12)</f>
        <v>0</v>
      </c>
      <c r="AF21" s="25">
        <f t="shared" ref="AF21:AF30" si="10">IFERROR(AC21/AE21,0)</f>
        <v>0</v>
      </c>
      <c r="AG21" s="232"/>
      <c r="AH21" s="25">
        <f t="shared" ref="AH21:AH29" si="11">+C21*($C$7/12)</f>
        <v>0</v>
      </c>
      <c r="AI21" s="25">
        <f t="shared" ref="AI21:AI30" si="12">IFERROR(S21/AH21,0)</f>
        <v>0</v>
      </c>
      <c r="AJ21" s="232"/>
      <c r="AK21" s="25">
        <f t="shared" ref="AK21:AK29" si="13">+D21*($C$7/12)</f>
        <v>0</v>
      </c>
      <c r="AL21" s="25">
        <f t="shared" ref="AL21:AL30" si="14">IFERROR(T21/AK21,0)</f>
        <v>0</v>
      </c>
      <c r="AM21" s="232"/>
      <c r="AN21" s="25">
        <f t="shared" ref="AN21:AN29" si="15">+E21*($C$7/12)</f>
        <v>0</v>
      </c>
      <c r="AO21" s="25">
        <f t="shared" ref="AO21:AO30" si="16">IFERROR(U21/AN21,0)</f>
        <v>0</v>
      </c>
      <c r="AP21" s="232"/>
      <c r="AQ21" s="25">
        <f t="shared" ref="AQ21:AQ29" si="17">+F21*($C$7/12)</f>
        <v>0</v>
      </c>
      <c r="AR21" s="25">
        <f t="shared" ref="AR21:AR30" si="18">IFERROR(V21/AQ21,0)</f>
        <v>0</v>
      </c>
      <c r="AS21" s="232"/>
      <c r="AT21" s="25">
        <f t="shared" ref="AT21:AT29" si="19">+G21*($C$7/12)</f>
        <v>0</v>
      </c>
      <c r="AU21" s="25">
        <f t="shared" ref="AU21:AU30" si="20">IFERROR(W21/AT21,0)</f>
        <v>0</v>
      </c>
      <c r="AV21" s="232"/>
      <c r="AW21" s="25">
        <f t="shared" ref="AW21:AW29" si="21">+H21*($C$7/12)</f>
        <v>0</v>
      </c>
      <c r="AX21" s="25">
        <f t="shared" ref="AX21:AX30"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1314</v>
      </c>
      <c r="B22" s="224" t="str">
        <f>+VLOOKUP(A22,Takstblad!$A$5:$B$30,2,FALSE)</f>
        <v/>
      </c>
      <c r="C22" s="299"/>
      <c r="D22" s="299"/>
      <c r="E22" s="299"/>
      <c r="F22" s="299"/>
      <c r="G22" s="299"/>
      <c r="H22" s="299"/>
      <c r="I22" s="299"/>
      <c r="J22" s="299"/>
      <c r="K22" s="299"/>
      <c r="L22" s="299"/>
      <c r="M22" s="19">
        <f t="shared" si="6"/>
        <v>0</v>
      </c>
      <c r="N22" s="299"/>
      <c r="O22" s="299" t="s">
        <v>113</v>
      </c>
      <c r="P22" s="223"/>
      <c r="Q22" s="225"/>
      <c r="R22" s="227">
        <f t="shared" si="7"/>
        <v>0</v>
      </c>
      <c r="S22" s="226">
        <f>+IFERROR(IF(S$19=Takstblad!C$3,VLOOKUP('B3'!$A22,takstblad,3,FALSE)*'B3'!C22,"fejl i år"),0)</f>
        <v>0</v>
      </c>
      <c r="T22" s="226">
        <f>+IFERROR(IF(T$19=Takstblad!D$3,VLOOKUP('B3'!$A22,takstblad,4,FALSE)*'B3'!D22,"fejl i år"),0)</f>
        <v>0</v>
      </c>
      <c r="U22" s="226">
        <f>+IFERROR(IF(U$19=Takstblad!E$3,VLOOKUP('B3'!$A22,takstblad,5,FALSE)*'B3'!E22,"fejl i år"),0)</f>
        <v>0</v>
      </c>
      <c r="V22" s="226">
        <f>+IFERROR(IF(V$19=Takstblad!F$3,VLOOKUP('B3'!$A22,takstblad,6,FALSE)*'B3'!F22,"fejl i år"),0)</f>
        <v>0</v>
      </c>
      <c r="W22" s="226">
        <f>+IFERROR(IF(W$19=Takstblad!G$3,VLOOKUP('B3'!$A22,takstblad,7,FALSE)*'B3'!G22,"fejl i år"),0)</f>
        <v>0</v>
      </c>
      <c r="X22" s="226">
        <f>+IFERROR(IF(X$19=Takstblad!H$3,VLOOKUP('B3'!$A22,takstblad,8,FALSE)*'B3'!H22,"fejl i år"),0)</f>
        <v>0</v>
      </c>
      <c r="Y22" s="226">
        <f>+IFERROR(IF(Y$19=Takstblad!I$3,VLOOKUP('B3'!$A22,takstblad,9,FALSE)*'B3'!I22,"fejl i år"),0)</f>
        <v>0</v>
      </c>
      <c r="Z22" s="226">
        <f>+IFERROR(IF(Z$19=Takstblad!J$3,VLOOKUP('B3'!$A22,takstblad,10,FALSE)*'B3'!J22,"fejl i år"),0)</f>
        <v>0</v>
      </c>
      <c r="AA22" s="226">
        <f>+IFERROR(IF(AA$19=Takstblad!K$3,VLOOKUP('B3'!$A22,takstblad,10,FALSE)*'B3'!K22,"fejl i år"),0)</f>
        <v>0</v>
      </c>
      <c r="AB22" s="226">
        <f>+IFERROR(IF(AB$19=Takstblad!L$3,VLOOKUP('B3'!$A22,takstblad,10,FALSE)*'B3'!L22,"fejl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1314</v>
      </c>
      <c r="B23" s="4" t="str">
        <f>+VLOOKUP(A23,Takstblad!$A$5:$B$30,2,FALSE)</f>
        <v/>
      </c>
      <c r="C23" s="299"/>
      <c r="D23" s="299"/>
      <c r="E23" s="299"/>
      <c r="F23" s="299"/>
      <c r="G23" s="299"/>
      <c r="H23" s="299"/>
      <c r="I23" s="299"/>
      <c r="J23" s="299"/>
      <c r="K23" s="299"/>
      <c r="L23" s="299"/>
      <c r="M23" s="19">
        <f t="shared" si="6"/>
        <v>0</v>
      </c>
      <c r="N23" s="299"/>
      <c r="O23" s="299" t="s">
        <v>113</v>
      </c>
      <c r="Q23" s="16"/>
      <c r="R23" s="21">
        <f t="shared" si="7"/>
        <v>0</v>
      </c>
      <c r="S23" s="25">
        <f>+IFERROR(IF(S$19=Takstblad!C$3,VLOOKUP('B3'!$A23,takstblad,3,FALSE)*'B3'!C23,"fejl i år"),0)</f>
        <v>0</v>
      </c>
      <c r="T23" s="25">
        <f>+IFERROR(IF(T$19=Takstblad!D$3,VLOOKUP('B3'!$A23,takstblad,4,FALSE)*'B3'!D23,"fejl i år"),0)</f>
        <v>0</v>
      </c>
      <c r="U23" s="25">
        <f>+IFERROR(IF(U$19=Takstblad!E$3,VLOOKUP('B3'!$A23,takstblad,5,FALSE)*'B3'!E23,"fejl i år"),0)</f>
        <v>0</v>
      </c>
      <c r="V23" s="25">
        <f>+IFERROR(IF(V$19=Takstblad!F$3,VLOOKUP('B3'!$A23,takstblad,6,FALSE)*'B3'!F23,"fejl i år"),0)</f>
        <v>0</v>
      </c>
      <c r="W23" s="25">
        <f>+IFERROR(IF(W$19=Takstblad!G$3,VLOOKUP('B3'!$A23,takstblad,7,FALSE)*'B3'!G23,"fejl i år"),0)</f>
        <v>0</v>
      </c>
      <c r="X23" s="25">
        <f>+IFERROR(IF(X$19=Takstblad!H$3,VLOOKUP('B3'!$A23,takstblad,8,FALSE)*'B3'!H23,"fejl i år"),0)</f>
        <v>0</v>
      </c>
      <c r="Y23" s="25">
        <f>+IFERROR(IF(Y$19=Takstblad!I$3,VLOOKUP('B3'!$A23,takstblad,9,FALSE)*'B3'!I23,"fejl i år"),0)</f>
        <v>0</v>
      </c>
      <c r="Z23" s="25">
        <f>+IFERROR(IF(Z$19=Takstblad!J$3,VLOOKUP('B3'!$A23,takstblad,10,FALSE)*'B3'!J23,"fejl i år"),0)</f>
        <v>0</v>
      </c>
      <c r="AA23" s="25">
        <f>+IFERROR(IF(AA$19=Takstblad!K$3,VLOOKUP('B3'!$A23,takstblad,10,FALSE)*'B3'!K23,"fejl i år"),0)</f>
        <v>0</v>
      </c>
      <c r="AB23" s="25">
        <f>+IFERROR(IF(AB$19=Takstblad!L$3,VLOOKUP('B3'!$A23,takstblad,10,FALSE)*'B3'!L23,"fejl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1314</v>
      </c>
      <c r="B24" s="224" t="str">
        <f>+VLOOKUP(A24,Takstblad!$A$5:$B$30,2,FALSE)</f>
        <v/>
      </c>
      <c r="C24" s="299"/>
      <c r="D24" s="299"/>
      <c r="E24" s="299"/>
      <c r="F24" s="299"/>
      <c r="G24" s="299"/>
      <c r="H24" s="299"/>
      <c r="I24" s="299"/>
      <c r="J24" s="299"/>
      <c r="K24" s="299"/>
      <c r="L24" s="299"/>
      <c r="M24" s="19">
        <f t="shared" si="6"/>
        <v>0</v>
      </c>
      <c r="N24" s="299"/>
      <c r="O24" s="299" t="s">
        <v>113</v>
      </c>
      <c r="P24" s="223"/>
      <c r="Q24" s="225"/>
      <c r="R24" s="227">
        <f t="shared" si="7"/>
        <v>0</v>
      </c>
      <c r="S24" s="226">
        <f>+IFERROR(IF(S$19=Takstblad!C$3,VLOOKUP('B3'!$A24,takstblad,3,FALSE)*'B3'!C24,"fejl i år"),0)</f>
        <v>0</v>
      </c>
      <c r="T24" s="226">
        <f>+IFERROR(IF(T$19=Takstblad!D$3,VLOOKUP('B3'!$A24,takstblad,4,FALSE)*'B3'!D24,"fejl i år"),0)</f>
        <v>0</v>
      </c>
      <c r="U24" s="226">
        <f>+IFERROR(IF(U$19=Takstblad!E$3,VLOOKUP('B3'!$A24,takstblad,5,FALSE)*'B3'!E24,"fejl i år"),0)</f>
        <v>0</v>
      </c>
      <c r="V24" s="226">
        <f>+IFERROR(IF(V$19=Takstblad!F$3,VLOOKUP('B3'!$A24,takstblad,6,FALSE)*'B3'!F24,"fejl i år"),0)</f>
        <v>0</v>
      </c>
      <c r="W24" s="226">
        <f>+IFERROR(IF(W$19=Takstblad!G$3,VLOOKUP('B3'!$A24,takstblad,7,FALSE)*'B3'!G24,"fejl i år"),0)</f>
        <v>0</v>
      </c>
      <c r="X24" s="226">
        <f>+IFERROR(IF(X$19=Takstblad!H$3,VLOOKUP('B3'!$A24,takstblad,8,FALSE)*'B3'!H24,"fejl i år"),0)</f>
        <v>0</v>
      </c>
      <c r="Y24" s="226">
        <f>+IFERROR(IF(Y$19=Takstblad!I$3,VLOOKUP('B3'!$A24,takstblad,9,FALSE)*'B3'!I24,"fejl i år"),0)</f>
        <v>0</v>
      </c>
      <c r="Z24" s="226">
        <f>+IFERROR(IF(Z$19=Takstblad!J$3,VLOOKUP('B3'!$A24,takstblad,10,FALSE)*'B3'!J24,"fejl i år"),0)</f>
        <v>0</v>
      </c>
      <c r="AA24" s="226">
        <f>+IFERROR(IF(AA$19=Takstblad!K$3,VLOOKUP('B3'!$A24,takstblad,10,FALSE)*'B3'!K24,"fejl i år"),0)</f>
        <v>0</v>
      </c>
      <c r="AB24" s="226">
        <f>+IFERROR(IF(AB$19=Takstblad!L$3,VLOOKUP('B3'!$A24,takstblad,10,FALSE)*'B3'!L24,"fejl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1314</v>
      </c>
      <c r="B25" s="4" t="str">
        <f>+VLOOKUP(A25,Takstblad!$A$5:$B$30,2,FALSE)</f>
        <v/>
      </c>
      <c r="C25" s="299"/>
      <c r="D25" s="299"/>
      <c r="E25" s="299"/>
      <c r="F25" s="299"/>
      <c r="G25" s="299"/>
      <c r="H25" s="299"/>
      <c r="I25" s="299"/>
      <c r="J25" s="299"/>
      <c r="K25" s="299"/>
      <c r="L25" s="299"/>
      <c r="M25" s="19">
        <f t="shared" si="6"/>
        <v>0</v>
      </c>
      <c r="N25" s="299"/>
      <c r="O25" s="299" t="s">
        <v>113</v>
      </c>
      <c r="Q25" s="16"/>
      <c r="R25" s="21">
        <f t="shared" si="7"/>
        <v>0</v>
      </c>
      <c r="S25" s="25">
        <f>+IFERROR(IF(S$19=Takstblad!C$3,VLOOKUP('B3'!$A25,takstblad,3,FALSE)*'B3'!C25,"fejl i år"),0)</f>
        <v>0</v>
      </c>
      <c r="T25" s="25">
        <f>+IFERROR(IF(T$19=Takstblad!D$3,VLOOKUP('B3'!$A25,takstblad,4,FALSE)*'B3'!D25,"fejl i år"),0)</f>
        <v>0</v>
      </c>
      <c r="U25" s="25">
        <f>+IFERROR(IF(U$19=Takstblad!E$3,VLOOKUP('B3'!$A25,takstblad,5,FALSE)*'B3'!E25,"fejl i år"),0)</f>
        <v>0</v>
      </c>
      <c r="V25" s="25">
        <f>+IFERROR(IF(V$19=Takstblad!F$3,VLOOKUP('B3'!$A25,takstblad,6,FALSE)*'B3'!F25,"fejl i år"),0)</f>
        <v>0</v>
      </c>
      <c r="W25" s="25">
        <f>+IFERROR(IF(W$19=Takstblad!G$3,VLOOKUP('B3'!$A25,takstblad,7,FALSE)*'B3'!G25,"fejl i år"),0)</f>
        <v>0</v>
      </c>
      <c r="X25" s="25">
        <f>+IFERROR(IF(X$19=Takstblad!H$3,VLOOKUP('B3'!$A25,takstblad,8,FALSE)*'B3'!H25,"fejl i år"),0)</f>
        <v>0</v>
      </c>
      <c r="Y25" s="25">
        <f>+IFERROR(IF(Y$19=Takstblad!I$3,VLOOKUP('B3'!$A25,takstblad,9,FALSE)*'B3'!I25,"fejl i år"),0)</f>
        <v>0</v>
      </c>
      <c r="Z25" s="25">
        <f>+IFERROR(IF(Z$19=Takstblad!J$3,VLOOKUP('B3'!$A25,takstblad,10,FALSE)*'B3'!J25,"fejl i år"),0)</f>
        <v>0</v>
      </c>
      <c r="AA25" s="25">
        <f>+IFERROR(IF(AA$19=Takstblad!K$3,VLOOKUP('B3'!$A25,takstblad,10,FALSE)*'B3'!K25,"fejl i år"),0)</f>
        <v>0</v>
      </c>
      <c r="AB25" s="25">
        <f>+IFERROR(IF(AB$19=Takstblad!L$3,VLOOKUP('B3'!$A25,takstblad,10,FALSE)*'B3'!L25,"fejl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1314</v>
      </c>
      <c r="B26" s="224" t="str">
        <f>+VLOOKUP(A26,Takstblad!$A$5:$B$30,2,FALSE)</f>
        <v/>
      </c>
      <c r="C26" s="299"/>
      <c r="D26" s="299"/>
      <c r="E26" s="299"/>
      <c r="F26" s="299"/>
      <c r="G26" s="299"/>
      <c r="H26" s="299"/>
      <c r="I26" s="299"/>
      <c r="J26" s="299"/>
      <c r="K26" s="299"/>
      <c r="L26" s="299"/>
      <c r="M26" s="19">
        <f t="shared" si="6"/>
        <v>0</v>
      </c>
      <c r="N26" s="299"/>
      <c r="O26" s="299" t="s">
        <v>113</v>
      </c>
      <c r="P26" s="223"/>
      <c r="Q26" s="225"/>
      <c r="R26" s="227">
        <f t="shared" si="7"/>
        <v>0</v>
      </c>
      <c r="S26" s="226">
        <f>+IFERROR(IF(S$19=Takstblad!C$3,VLOOKUP('B3'!$A26,takstblad,3,FALSE)*'B3'!C26,"fejl i år"),0)</f>
        <v>0</v>
      </c>
      <c r="T26" s="226">
        <f>+IFERROR(IF(T$19=Takstblad!D$3,VLOOKUP('B3'!$A26,takstblad,4,FALSE)*'B3'!D26,"fejl i år"),0)</f>
        <v>0</v>
      </c>
      <c r="U26" s="226">
        <f>+IFERROR(IF(U$19=Takstblad!E$3,VLOOKUP('B3'!$A26,takstblad,5,FALSE)*'B3'!E26,"fejl i år"),0)</f>
        <v>0</v>
      </c>
      <c r="V26" s="226">
        <f>+IFERROR(IF(V$19=Takstblad!F$3,VLOOKUP('B3'!$A26,takstblad,6,FALSE)*'B3'!F26,"fejl i år"),0)</f>
        <v>0</v>
      </c>
      <c r="W26" s="226">
        <f>+IFERROR(IF(W$19=Takstblad!G$3,VLOOKUP('B3'!$A26,takstblad,7,FALSE)*'B3'!G26,"fejl i år"),0)</f>
        <v>0</v>
      </c>
      <c r="X26" s="226">
        <f>+IFERROR(IF(X$19=Takstblad!H$3,VLOOKUP('B3'!$A26,takstblad,8,FALSE)*'B3'!H26,"fejl i år"),0)</f>
        <v>0</v>
      </c>
      <c r="Y26" s="226">
        <f>+IFERROR(IF(Y$19=Takstblad!I$3,VLOOKUP('B3'!$A26,takstblad,9,FALSE)*'B3'!I26,"fejl i år"),0)</f>
        <v>0</v>
      </c>
      <c r="Z26" s="226">
        <f>+IFERROR(IF(Z$19=Takstblad!J$3,VLOOKUP('B3'!$A26,takstblad,10,FALSE)*'B3'!J26,"fejl i år"),0)</f>
        <v>0</v>
      </c>
      <c r="AA26" s="226">
        <f>+IFERROR(IF(AA$19=Takstblad!K$3,VLOOKUP('B3'!$A26,takstblad,10,FALSE)*'B3'!K26,"fejl i år"),0)</f>
        <v>0</v>
      </c>
      <c r="AB26" s="226">
        <f>+IFERROR(IF(AB$19=Takstblad!L$3,VLOOKUP('B3'!$A26,takstblad,10,FALSE)*'B3'!L26,"fejl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1314</v>
      </c>
      <c r="B27" s="4" t="str">
        <f>+VLOOKUP(A27,Takstblad!$A$5:$B$30,2,FALSE)</f>
        <v/>
      </c>
      <c r="C27" s="299"/>
      <c r="D27" s="299"/>
      <c r="E27" s="299"/>
      <c r="F27" s="299"/>
      <c r="G27" s="299"/>
      <c r="H27" s="299"/>
      <c r="I27" s="299"/>
      <c r="J27" s="299"/>
      <c r="K27" s="299"/>
      <c r="L27" s="299"/>
      <c r="M27" s="19">
        <f t="shared" si="6"/>
        <v>0</v>
      </c>
      <c r="N27" s="299"/>
      <c r="O27" s="299" t="s">
        <v>113</v>
      </c>
      <c r="Q27" s="16"/>
      <c r="R27" s="21">
        <f t="shared" si="7"/>
        <v>0</v>
      </c>
      <c r="S27" s="25">
        <f>+IFERROR(IF(S$19=Takstblad!C$3,VLOOKUP('B3'!$A27,takstblad,3,FALSE)*'B3'!C27,"fejl i år"),0)</f>
        <v>0</v>
      </c>
      <c r="T27" s="25">
        <f>+IFERROR(IF(T$19=Takstblad!D$3,VLOOKUP('B3'!$A27,takstblad,4,FALSE)*'B3'!D27,"fejl i år"),0)</f>
        <v>0</v>
      </c>
      <c r="U27" s="25">
        <f>+IFERROR(IF(U$19=Takstblad!E$3,VLOOKUP('B3'!$A27,takstblad,5,FALSE)*'B3'!E27,"fejl i år"),0)</f>
        <v>0</v>
      </c>
      <c r="V27" s="25">
        <f>+IFERROR(IF(V$19=Takstblad!F$3,VLOOKUP('B3'!$A27,takstblad,6,FALSE)*'B3'!F27,"fejl i år"),0)</f>
        <v>0</v>
      </c>
      <c r="W27" s="25">
        <f>+IFERROR(IF(W$19=Takstblad!G$3,VLOOKUP('B3'!$A27,takstblad,7,FALSE)*'B3'!G27,"fejl i år"),0)</f>
        <v>0</v>
      </c>
      <c r="X27" s="25">
        <f>+IFERROR(IF(X$19=Takstblad!H$3,VLOOKUP('B3'!$A27,takstblad,8,FALSE)*'B3'!H27,"fejl i år"),0)</f>
        <v>0</v>
      </c>
      <c r="Y27" s="25">
        <f>+IFERROR(IF(Y$19=Takstblad!I$3,VLOOKUP('B3'!$A27,takstblad,9,FALSE)*'B3'!I27,"fejl i år"),0)</f>
        <v>0</v>
      </c>
      <c r="Z27" s="25">
        <f>+IFERROR(IF(Z$19=Takstblad!J$3,VLOOKUP('B3'!$A27,takstblad,10,FALSE)*'B3'!J27,"fejl i år"),0)</f>
        <v>0</v>
      </c>
      <c r="AA27" s="25">
        <f>+IFERROR(IF(AA$19=Takstblad!K$3,VLOOKUP('B3'!$A27,takstblad,10,FALSE)*'B3'!K27,"fejl i år"),0)</f>
        <v>0</v>
      </c>
      <c r="AB27" s="25">
        <f>+IFERROR(IF(AB$19=Takstblad!L$3,VLOOKUP('B3'!$A27,takstblad,10,FALSE)*'B3'!L27,"fejl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1314</v>
      </c>
      <c r="B28" s="224" t="str">
        <f>+VLOOKUP(A28,Takstblad!$A$5:$B$30,2,FALSE)</f>
        <v/>
      </c>
      <c r="C28" s="299"/>
      <c r="D28" s="299"/>
      <c r="E28" s="299"/>
      <c r="F28" s="299"/>
      <c r="G28" s="299"/>
      <c r="H28" s="299"/>
      <c r="I28" s="299"/>
      <c r="J28" s="299"/>
      <c r="K28" s="299"/>
      <c r="L28" s="299"/>
      <c r="M28" s="19">
        <f t="shared" si="6"/>
        <v>0</v>
      </c>
      <c r="N28" s="299"/>
      <c r="O28" s="299" t="s">
        <v>113</v>
      </c>
      <c r="P28" s="223"/>
      <c r="Q28" s="225"/>
      <c r="R28" s="227">
        <f t="shared" si="7"/>
        <v>0</v>
      </c>
      <c r="S28" s="226">
        <f>+IFERROR(IF(S$19=Takstblad!C$3,VLOOKUP('B3'!$A28,takstblad,3,FALSE)*'B3'!C28,"fejl i år"),0)</f>
        <v>0</v>
      </c>
      <c r="T28" s="226">
        <f>+IFERROR(IF(T$19=Takstblad!D$3,VLOOKUP('B3'!$A28,takstblad,4,FALSE)*'B3'!D28,"fejl i år"),0)</f>
        <v>0</v>
      </c>
      <c r="U28" s="226">
        <f>+IFERROR(IF(U$19=Takstblad!E$3,VLOOKUP('B3'!$A28,takstblad,5,FALSE)*'B3'!E28,"fejl i år"),0)</f>
        <v>0</v>
      </c>
      <c r="V28" s="226">
        <f>+IFERROR(IF(V$19=Takstblad!F$3,VLOOKUP('B3'!$A28,takstblad,6,FALSE)*'B3'!F28,"fejl i år"),0)</f>
        <v>0</v>
      </c>
      <c r="W28" s="226">
        <f>+IFERROR(IF(W$19=Takstblad!G$3,VLOOKUP('B3'!$A28,takstblad,7,FALSE)*'B3'!G28,"fejl i år"),0)</f>
        <v>0</v>
      </c>
      <c r="X28" s="226">
        <f>+IFERROR(IF(X$19=Takstblad!H$3,VLOOKUP('B3'!$A28,takstblad,8,FALSE)*'B3'!H28,"fejl i år"),0)</f>
        <v>0</v>
      </c>
      <c r="Y28" s="226">
        <f>+IFERROR(IF(Y$19=Takstblad!I$3,VLOOKUP('B3'!$A28,takstblad,9,FALSE)*'B3'!I28,"fejl i år"),0)</f>
        <v>0</v>
      </c>
      <c r="Z28" s="226">
        <f>+IFERROR(IF(Z$19=Takstblad!J$3,VLOOKUP('B3'!$A28,takstblad,10,FALSE)*'B3'!J28,"fejl i år"),0)</f>
        <v>0</v>
      </c>
      <c r="AA28" s="226">
        <f>+IFERROR(IF(AA$19=Takstblad!K$3,VLOOKUP('B3'!$A28,takstblad,10,FALSE)*'B3'!K28,"fejl i år"),0)</f>
        <v>0</v>
      </c>
      <c r="AB28" s="226">
        <f>+IFERROR(IF(AB$19=Takstblad!L$3,VLOOKUP('B3'!$A28,takstblad,10,FALSE)*'B3'!L28,"fejl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1314</v>
      </c>
      <c r="B29" s="4" t="str">
        <f>+VLOOKUP(A29,Takstblad!$A$5:$B$30,2,FALSE)</f>
        <v/>
      </c>
      <c r="C29" s="299"/>
      <c r="D29" s="299"/>
      <c r="E29" s="299"/>
      <c r="F29" s="299"/>
      <c r="G29" s="299"/>
      <c r="H29" s="299"/>
      <c r="I29" s="300"/>
      <c r="J29" s="300"/>
      <c r="K29" s="300"/>
      <c r="L29" s="300"/>
      <c r="M29" s="47">
        <f t="shared" si="6"/>
        <v>0</v>
      </c>
      <c r="N29" s="299"/>
      <c r="O29" s="299" t="s">
        <v>113</v>
      </c>
      <c r="Q29" s="16"/>
      <c r="R29" s="21">
        <f t="shared" si="7"/>
        <v>0</v>
      </c>
      <c r="S29" s="25">
        <f>+IFERROR(IF(S$19=Takstblad!C$3,VLOOKUP('B3'!$A29,takstblad,3,FALSE)*'B3'!C29,"fejl i år"),0)</f>
        <v>0</v>
      </c>
      <c r="T29" s="25">
        <f>+IFERROR(IF(T$19=Takstblad!D$3,VLOOKUP('B3'!$A29,takstblad,4,FALSE)*'B3'!D29,"fejl i år"),0)</f>
        <v>0</v>
      </c>
      <c r="U29" s="25">
        <f>+IFERROR(IF(U$19=Takstblad!E$3,VLOOKUP('B3'!$A29,takstblad,5,FALSE)*'B3'!E29,"fejl i år"),0)</f>
        <v>0</v>
      </c>
      <c r="V29" s="25">
        <f>+IFERROR(IF(V$19=Takstblad!F$3,VLOOKUP('B3'!$A29,takstblad,6,FALSE)*'B3'!F29,"fejl i år"),0)</f>
        <v>0</v>
      </c>
      <c r="W29" s="25">
        <f>+IFERROR(IF(W$19=Takstblad!G$3,VLOOKUP('B3'!$A29,takstblad,7,FALSE)*'B3'!G29,"fejl i år"),0)</f>
        <v>0</v>
      </c>
      <c r="X29" s="25">
        <f>+IFERROR(IF(X$19=Takstblad!H$3,VLOOKUP('B3'!$A29,takstblad,8,FALSE)*'B3'!H29,"fejl i år"),0)</f>
        <v>0</v>
      </c>
      <c r="Y29" s="25">
        <f>+IFERROR(IF(Y$19=Takstblad!I$3,VLOOKUP('B3'!$A29,takstblad,9,FALSE)*'B3'!I29,"fejl i år"),0)</f>
        <v>0</v>
      </c>
      <c r="Z29" s="25">
        <f>+IFERROR(IF(Z$19=Takstblad!J$3,VLOOKUP('B3'!$A29,takstblad,10,FALSE)*'B3'!J29,"fejl i år"),0)</f>
        <v>0</v>
      </c>
      <c r="AA29" s="25">
        <f>+IFERROR(IF(AA$19=Takstblad!K$3,VLOOKUP('B3'!$A29,takstblad,10,FALSE)*'B3'!K29,"fejl i år"),0)</f>
        <v>0</v>
      </c>
      <c r="AB29" s="25">
        <f>+IFERROR(IF(AB$19=Takstblad!L$3,VLOOKUP('B3'!$A29,takstblad,10,FALSE)*'B3'!L29,"fejl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30" si="29">IFERROR(Z29/BC29,0)</f>
        <v>0</v>
      </c>
      <c r="BE29" s="232"/>
      <c r="BF29" s="25">
        <f t="shared" si="25"/>
        <v>0</v>
      </c>
      <c r="BG29" s="25">
        <f t="shared" si="26"/>
        <v>0</v>
      </c>
      <c r="BH29" s="232"/>
      <c r="BI29" s="25">
        <f t="shared" si="27"/>
        <v>0</v>
      </c>
      <c r="BJ29" s="25">
        <f t="shared" si="28"/>
        <v>0</v>
      </c>
    </row>
    <row r="30" spans="1:62" ht="15.6" customHeight="1" thickBot="1" x14ac:dyDescent="0.25">
      <c r="A30" s="4" t="s">
        <v>81</v>
      </c>
      <c r="B30" s="4"/>
      <c r="C30" s="49">
        <f t="shared" ref="C30:I30" si="30">SUM(C20:C29)</f>
        <v>0</v>
      </c>
      <c r="D30" s="49">
        <f t="shared" si="30"/>
        <v>0</v>
      </c>
      <c r="E30" s="49">
        <f t="shared" si="30"/>
        <v>0</v>
      </c>
      <c r="F30" s="49">
        <f t="shared" si="30"/>
        <v>0</v>
      </c>
      <c r="G30" s="49">
        <f t="shared" si="30"/>
        <v>0</v>
      </c>
      <c r="H30" s="49">
        <f t="shared" si="30"/>
        <v>0</v>
      </c>
      <c r="I30" s="64">
        <f t="shared" si="30"/>
        <v>0</v>
      </c>
      <c r="J30" s="64">
        <f>SUM(J20:J29)</f>
        <v>0</v>
      </c>
      <c r="K30" s="64">
        <f t="shared" ref="K30:L30" si="31">SUM(K20:K29)</f>
        <v>0</v>
      </c>
      <c r="L30" s="64">
        <f t="shared" si="31"/>
        <v>0</v>
      </c>
      <c r="M30" s="50">
        <f>SUM(M20:M29)</f>
        <v>0</v>
      </c>
      <c r="N30" s="50"/>
      <c r="O30" s="4"/>
      <c r="P30" s="4"/>
      <c r="Q30" s="23" t="s">
        <v>74</v>
      </c>
      <c r="R30" s="53">
        <f t="shared" si="7"/>
        <v>0</v>
      </c>
      <c r="S30" s="51">
        <f>SUM(S20:S29)</f>
        <v>0</v>
      </c>
      <c r="T30" s="13">
        <f t="shared" ref="T30:Z30" si="32">SUM(T20:T29)</f>
        <v>0</v>
      </c>
      <c r="U30" s="52">
        <f t="shared" si="32"/>
        <v>0</v>
      </c>
      <c r="V30" s="13">
        <f t="shared" si="32"/>
        <v>0</v>
      </c>
      <c r="W30" s="52">
        <f t="shared" si="32"/>
        <v>0</v>
      </c>
      <c r="X30" s="13">
        <f t="shared" si="32"/>
        <v>0</v>
      </c>
      <c r="Y30" s="66">
        <f t="shared" si="32"/>
        <v>0</v>
      </c>
      <c r="Z30" s="66">
        <f t="shared" si="32"/>
        <v>0</v>
      </c>
      <c r="AA30" s="66">
        <f t="shared" ref="AA30:AB30" si="33">SUM(AA20:AA29)</f>
        <v>0</v>
      </c>
      <c r="AB30" s="66">
        <f t="shared" si="33"/>
        <v>0</v>
      </c>
      <c r="AC30" s="53">
        <f t="shared" si="8"/>
        <v>0</v>
      </c>
      <c r="AD30" s="232"/>
      <c r="AE30" s="13">
        <f>SUM(AE20:AE29)</f>
        <v>0</v>
      </c>
      <c r="AF30" s="10">
        <f t="shared" si="10"/>
        <v>0</v>
      </c>
      <c r="AG30" s="232"/>
      <c r="AH30" s="13">
        <f>SUM(AH20:AH29)</f>
        <v>0</v>
      </c>
      <c r="AI30" s="10">
        <f t="shared" si="12"/>
        <v>0</v>
      </c>
      <c r="AJ30" s="233"/>
      <c r="AK30" s="13">
        <f>SUM(AK20:AK29)</f>
        <v>0</v>
      </c>
      <c r="AL30" s="10">
        <f t="shared" si="14"/>
        <v>0</v>
      </c>
      <c r="AM30" s="233"/>
      <c r="AN30" s="13">
        <f>SUM(AN20:AN29)</f>
        <v>0</v>
      </c>
      <c r="AO30" s="10">
        <f t="shared" si="16"/>
        <v>0</v>
      </c>
      <c r="AP30" s="232"/>
      <c r="AQ30" s="13">
        <f>SUM(AQ20:AQ29)</f>
        <v>0</v>
      </c>
      <c r="AR30" s="10">
        <f t="shared" si="18"/>
        <v>0</v>
      </c>
      <c r="AS30" s="232"/>
      <c r="AT30" s="13">
        <f>SUM(AT20:AT29)</f>
        <v>0</v>
      </c>
      <c r="AU30" s="10">
        <f t="shared" si="20"/>
        <v>0</v>
      </c>
      <c r="AV30" s="232"/>
      <c r="AW30" s="13">
        <f>SUM(AW20:AW29)</f>
        <v>0</v>
      </c>
      <c r="AX30" s="10">
        <f t="shared" si="22"/>
        <v>0</v>
      </c>
      <c r="AY30" s="232"/>
      <c r="AZ30" s="13">
        <f>SUM(AZ20:AZ29)</f>
        <v>0</v>
      </c>
      <c r="BA30" s="10">
        <f t="shared" ref="BA30" si="34">IFERROR(Z30/AZ30,0)</f>
        <v>0</v>
      </c>
      <c r="BB30" s="232"/>
      <c r="BC30" s="13">
        <f>SUM(BC20:BC29)</f>
        <v>0</v>
      </c>
      <c r="BD30" s="10">
        <f t="shared" si="29"/>
        <v>0</v>
      </c>
      <c r="BE30" s="232"/>
      <c r="BF30" s="13">
        <f>SUM(BF20:BF29)</f>
        <v>0</v>
      </c>
      <c r="BG30" s="10">
        <f t="shared" ref="BG30" si="35">IFERROR(AC30/BF30,0)</f>
        <v>0</v>
      </c>
      <c r="BH30" s="232"/>
      <c r="BI30" s="13">
        <f>SUM(BI20:BI29)</f>
        <v>0</v>
      </c>
      <c r="BJ30" s="10">
        <f t="shared" ref="BJ30" si="36">IFERROR(AF30/BI30,0)</f>
        <v>0</v>
      </c>
    </row>
    <row r="31" spans="1:62" ht="15.6" customHeight="1" x14ac:dyDescent="0.2">
      <c r="A31" s="4"/>
      <c r="B31" s="5"/>
      <c r="C31" s="5"/>
      <c r="D31" s="5"/>
      <c r="E31" s="5"/>
      <c r="F31" s="5"/>
      <c r="G31" s="5"/>
      <c r="H31" s="5"/>
      <c r="I31" s="5"/>
      <c r="J31" s="5"/>
      <c r="K31" s="5"/>
      <c r="L31" s="5"/>
      <c r="M31" s="5"/>
      <c r="N31" s="5"/>
      <c r="O31" s="5"/>
      <c r="P31" s="5"/>
      <c r="Q31" s="23"/>
      <c r="R31" s="5"/>
      <c r="S31" s="5"/>
      <c r="T31" s="5"/>
      <c r="U31" s="5"/>
      <c r="V31" s="5"/>
      <c r="W31" s="5"/>
      <c r="X31" s="5"/>
      <c r="Y31" s="5"/>
      <c r="Z31" s="5"/>
      <c r="AA31" s="5"/>
      <c r="AB31" s="5"/>
      <c r="AC31" s="5"/>
      <c r="AD31" s="232"/>
      <c r="AE31" s="5"/>
      <c r="AF31" s="5"/>
      <c r="AG31" s="232"/>
      <c r="AH31" s="5"/>
      <c r="AI31" s="5"/>
      <c r="AJ31" s="232"/>
      <c r="AK31" s="5"/>
      <c r="AL31" s="5"/>
      <c r="AM31" s="232"/>
      <c r="AN31" s="5"/>
      <c r="AO31" s="5"/>
      <c r="AP31" s="232"/>
      <c r="AQ31" s="5"/>
      <c r="AR31" s="5"/>
      <c r="AS31" s="232"/>
      <c r="AT31" s="5"/>
      <c r="AU31" s="5"/>
      <c r="AV31" s="232"/>
      <c r="AW31" s="5"/>
      <c r="AX31" s="5"/>
      <c r="AY31" s="232"/>
      <c r="AZ31" s="5"/>
      <c r="BA31" s="5"/>
      <c r="BB31" s="232"/>
      <c r="BC31" s="5"/>
      <c r="BD31" s="5"/>
      <c r="BE31" s="232"/>
      <c r="BF31" s="5"/>
      <c r="BG31" s="5"/>
      <c r="BH31" s="232"/>
      <c r="BI31" s="5"/>
      <c r="BJ31" s="5"/>
    </row>
    <row r="32" spans="1:62" s="9" customFormat="1" ht="15.6" customHeight="1" x14ac:dyDescent="0.2">
      <c r="A32" s="4" t="s">
        <v>80</v>
      </c>
      <c r="B32" s="8"/>
      <c r="C32" s="8">
        <f t="shared" ref="C32:L32" si="37">+C19</f>
        <v>2025</v>
      </c>
      <c r="D32" s="8">
        <f t="shared" si="37"/>
        <v>2026</v>
      </c>
      <c r="E32" s="8">
        <f t="shared" si="37"/>
        <v>2027</v>
      </c>
      <c r="F32" s="8">
        <f t="shared" si="37"/>
        <v>2028</v>
      </c>
      <c r="G32" s="8">
        <f t="shared" si="37"/>
        <v>2029</v>
      </c>
      <c r="H32" s="8">
        <f t="shared" si="37"/>
        <v>2030</v>
      </c>
      <c r="I32" s="8">
        <f t="shared" si="37"/>
        <v>2031</v>
      </c>
      <c r="J32" s="8">
        <f t="shared" si="37"/>
        <v>2032</v>
      </c>
      <c r="K32" s="8">
        <f t="shared" si="37"/>
        <v>2033</v>
      </c>
      <c r="L32" s="8">
        <f t="shared" si="37"/>
        <v>2034</v>
      </c>
      <c r="M32" s="8" t="s">
        <v>34</v>
      </c>
      <c r="N32" s="8"/>
      <c r="O32" s="8"/>
      <c r="P32" s="8"/>
      <c r="Q32" s="23" t="s">
        <v>82</v>
      </c>
      <c r="R32" s="8" t="s">
        <v>34</v>
      </c>
      <c r="S32" s="8">
        <f t="shared" ref="S32:AB32" si="38">+C19</f>
        <v>2025</v>
      </c>
      <c r="T32" s="8">
        <f t="shared" si="38"/>
        <v>2026</v>
      </c>
      <c r="U32" s="8">
        <f t="shared" si="38"/>
        <v>2027</v>
      </c>
      <c r="V32" s="8">
        <f t="shared" si="38"/>
        <v>2028</v>
      </c>
      <c r="W32" s="8">
        <f t="shared" si="38"/>
        <v>2029</v>
      </c>
      <c r="X32" s="8">
        <f t="shared" si="38"/>
        <v>2030</v>
      </c>
      <c r="Y32" s="8">
        <f t="shared" si="38"/>
        <v>2031</v>
      </c>
      <c r="Z32" s="8">
        <f t="shared" si="38"/>
        <v>2032</v>
      </c>
      <c r="AA32" s="8">
        <f t="shared" si="38"/>
        <v>2033</v>
      </c>
      <c r="AB32" s="8">
        <f t="shared" si="38"/>
        <v>2034</v>
      </c>
      <c r="AC32" s="8" t="s">
        <v>34</v>
      </c>
      <c r="AD32" s="233"/>
      <c r="AE32" s="503" t="s">
        <v>34</v>
      </c>
      <c r="AF32" s="502"/>
      <c r="AG32" s="232"/>
      <c r="AH32" s="501">
        <f>+AH19</f>
        <v>2025</v>
      </c>
      <c r="AI32" s="502"/>
      <c r="AJ32" s="232"/>
      <c r="AK32" s="501">
        <f>+AK19</f>
        <v>2026</v>
      </c>
      <c r="AL32" s="502"/>
      <c r="AM32" s="232"/>
      <c r="AN32" s="501">
        <f>+AN19</f>
        <v>2027</v>
      </c>
      <c r="AO32" s="502"/>
      <c r="AP32" s="232"/>
      <c r="AQ32" s="501">
        <f>+AQ19</f>
        <v>2028</v>
      </c>
      <c r="AR32" s="502"/>
      <c r="AS32" s="232"/>
      <c r="AT32" s="501">
        <f>+AT19</f>
        <v>2029</v>
      </c>
      <c r="AU32" s="502"/>
      <c r="AV32" s="232"/>
      <c r="AW32" s="501">
        <f>+AW19</f>
        <v>2030</v>
      </c>
      <c r="AX32" s="502"/>
      <c r="AY32" s="232"/>
      <c r="AZ32" s="501">
        <f>+AZ19</f>
        <v>2031</v>
      </c>
      <c r="BA32" s="502"/>
      <c r="BB32" s="232"/>
      <c r="BC32" s="501">
        <f>+BC19</f>
        <v>2032</v>
      </c>
      <c r="BD32" s="502"/>
      <c r="BE32" s="232"/>
      <c r="BF32" s="501">
        <f>+BF19</f>
        <v>2033</v>
      </c>
      <c r="BG32" s="502"/>
      <c r="BH32" s="232"/>
      <c r="BI32" s="501">
        <f>+BI19</f>
        <v>2034</v>
      </c>
      <c r="BJ32" s="502"/>
    </row>
    <row r="33" spans="1:66" ht="15.6" customHeight="1" x14ac:dyDescent="0.2">
      <c r="A33" s="223" t="s">
        <v>1314</v>
      </c>
      <c r="B33" s="224">
        <f>+VLOOKUP(A33,Takstblad!$A$33:$B$51,2,FALSE)</f>
        <v>0</v>
      </c>
      <c r="C33" s="299"/>
      <c r="D33" s="299"/>
      <c r="E33" s="299"/>
      <c r="F33" s="299"/>
      <c r="G33" s="299"/>
      <c r="H33" s="299"/>
      <c r="I33" s="299"/>
      <c r="J33" s="299"/>
      <c r="K33" s="299"/>
      <c r="L33" s="299"/>
      <c r="M33" s="19">
        <f>SUM(C33:L33)</f>
        <v>0</v>
      </c>
      <c r="N33" s="299"/>
      <c r="O33" s="299" t="s">
        <v>113</v>
      </c>
      <c r="P33" s="223"/>
      <c r="Q33" s="229"/>
      <c r="R33" s="227">
        <f t="shared" ref="R33:R46" si="39">+AC33</f>
        <v>0</v>
      </c>
      <c r="S33" s="226">
        <f>+IFERROR(IF(S$19=Takstblad!C$3,VLOOKUP('B3'!$A33,takstblad,3,FALSE)*'B3'!C33,"fejl i år"),0)</f>
        <v>0</v>
      </c>
      <c r="T33" s="226">
        <f>+IFERROR(IF(T$19=Takstblad!D$3,VLOOKUP('B3'!$A33,takstblad,4,FALSE)*'B3'!D33,"fejl i år"),0)</f>
        <v>0</v>
      </c>
      <c r="U33" s="226">
        <f>+IFERROR(IF(U$19=Takstblad!E$3,VLOOKUP('B3'!$A33,takstblad,5,FALSE)*'B3'!E33,"fejl i år"),0)</f>
        <v>0</v>
      </c>
      <c r="V33" s="226">
        <f>+IFERROR(IF(V$19=Takstblad!F$3,VLOOKUP('B3'!$A33,takstblad,6,FALSE)*'B3'!F33,"fejl i år"),0)</f>
        <v>0</v>
      </c>
      <c r="W33" s="226">
        <f>+IFERROR(IF(W$19=Takstblad!G$3,VLOOKUP('B3'!$A33,takstblad,7,FALSE)*'B3'!G33,"fejl i år"),0)</f>
        <v>0</v>
      </c>
      <c r="X33" s="226">
        <f>+IFERROR(IF(X$19=Takstblad!H$3,VLOOKUP('B3'!$A33,takstblad,8,FALSE)*'B3'!H33,"fejl i år"),0)</f>
        <v>0</v>
      </c>
      <c r="Y33" s="226">
        <f>+IFERROR(IF(Y$19=Takstblad!I$3,VLOOKUP('B3'!$A33,takstblad,9,FALSE)*'B3'!I33,"fejl i år"),0)</f>
        <v>0</v>
      </c>
      <c r="Z33" s="226">
        <f>+IFERROR(IF(Z$19=Takstblad!J$3,VLOOKUP('B3'!$A33,takstblad,10,FALSE)*'B3'!J33,"fejl i år"),0)</f>
        <v>0</v>
      </c>
      <c r="AA33" s="226">
        <f>+IFERROR(IF(AA$19=Takstblad!K$3,VLOOKUP('B3'!$A33,takstblad,10,FALSE)*'B3'!K33,"fejl i år"),0)</f>
        <v>0</v>
      </c>
      <c r="AB33" s="226">
        <f>+IFERROR(IF(AB$19=Takstblad!L$3,VLOOKUP('B3'!$A33,takstblad,10,FALSE)*'B3'!L33,"fejl i år"),0)</f>
        <v>0</v>
      </c>
      <c r="AC33" s="227">
        <f>SUM(S33:AB33)</f>
        <v>0</v>
      </c>
      <c r="AD33" s="232"/>
      <c r="AE33" s="228">
        <f t="shared" ref="AE33:AE42" si="40">+M33*($C$7/12)</f>
        <v>0</v>
      </c>
      <c r="AF33" s="228">
        <f t="shared" ref="AF33:AF43" si="41">IFERROR(AC33/AE33,0)</f>
        <v>0</v>
      </c>
      <c r="AG33" s="232"/>
      <c r="AH33" s="228">
        <f t="shared" ref="AH33:AH43" si="42">+C33*($C$7/12)</f>
        <v>0</v>
      </c>
      <c r="AI33" s="228">
        <f t="shared" ref="AI33:AI46" si="43">IFERROR(S33/AH33,0)</f>
        <v>0</v>
      </c>
      <c r="AJ33" s="232"/>
      <c r="AK33" s="226">
        <f t="shared" ref="AK33:AK43" si="44">+D33*($C$7/12)</f>
        <v>0</v>
      </c>
      <c r="AL33" s="226">
        <f t="shared" ref="AL33:AL46" si="45">IFERROR(T33/AK33,0)</f>
        <v>0</v>
      </c>
      <c r="AM33" s="232"/>
      <c r="AN33" s="226">
        <f t="shared" ref="AN33:AN43" si="46">+E33*($C$7/12)</f>
        <v>0</v>
      </c>
      <c r="AO33" s="226">
        <f t="shared" ref="AO33:AO46" si="47">IFERROR(U33/AN33,0)</f>
        <v>0</v>
      </c>
      <c r="AP33" s="232"/>
      <c r="AQ33" s="226">
        <f t="shared" ref="AQ33:AQ43" si="48">+F33*($C$7/12)</f>
        <v>0</v>
      </c>
      <c r="AR33" s="226">
        <f t="shared" ref="AR33:AR46" si="49">IFERROR(V33/AQ33,0)</f>
        <v>0</v>
      </c>
      <c r="AS33" s="232"/>
      <c r="AT33" s="226">
        <f t="shared" ref="AT33:AT43" si="50">+G33*($C$7/12)</f>
        <v>0</v>
      </c>
      <c r="AU33" s="226">
        <f t="shared" ref="AU33:AU46" si="51">IFERROR(W33/AT33,0)</f>
        <v>0</v>
      </c>
      <c r="AV33" s="232"/>
      <c r="AW33" s="226">
        <f t="shared" ref="AW33:AW43" si="52">+H33*($C$7/12)</f>
        <v>0</v>
      </c>
      <c r="AX33" s="226">
        <f t="shared" ref="AX33:AX46" si="53">IFERROR(X33/AW33,0)</f>
        <v>0</v>
      </c>
      <c r="AY33" s="232"/>
      <c r="AZ33" s="226">
        <f>+I33*($C$7/12)</f>
        <v>0</v>
      </c>
      <c r="BA33" s="226">
        <f>IFERROR(Y33/AZ33,0)</f>
        <v>0</v>
      </c>
      <c r="BB33" s="232"/>
      <c r="BC33" s="226">
        <f>+J33*($C$7/12)</f>
        <v>0</v>
      </c>
      <c r="BD33" s="226">
        <f>IFERROR(Z33/BC33,0)</f>
        <v>0</v>
      </c>
      <c r="BE33" s="232"/>
      <c r="BF33" s="226">
        <f>+K33*($C$7/12)</f>
        <v>0</v>
      </c>
      <c r="BG33" s="226">
        <f>IFERROR(AB33/BF33,0)</f>
        <v>0</v>
      </c>
      <c r="BH33" s="232"/>
      <c r="BI33" s="226">
        <f>+L33*($C$7/12)</f>
        <v>0</v>
      </c>
      <c r="BJ33" s="226">
        <f>IFERROR(AB33/BI33,0)</f>
        <v>0</v>
      </c>
    </row>
    <row r="34" spans="1:66" ht="15.6" customHeight="1" x14ac:dyDescent="0.2">
      <c r="A34" s="7" t="s">
        <v>1314</v>
      </c>
      <c r="B34" s="4">
        <f>+VLOOKUP(A34,Takstblad!$A$33:$B$51,2,FALSE)</f>
        <v>0</v>
      </c>
      <c r="C34" s="301"/>
      <c r="D34" s="299"/>
      <c r="E34" s="299"/>
      <c r="F34" s="299"/>
      <c r="G34" s="299"/>
      <c r="H34" s="299"/>
      <c r="I34" s="299"/>
      <c r="J34" s="299"/>
      <c r="K34" s="299"/>
      <c r="L34" s="299"/>
      <c r="M34" s="19">
        <f t="shared" ref="M34:M46" si="54">SUM(C34:L34)</f>
        <v>0</v>
      </c>
      <c r="N34" s="299"/>
      <c r="O34" s="299" t="s">
        <v>113</v>
      </c>
      <c r="Q34" s="26"/>
      <c r="R34" s="21">
        <f>+AC34</f>
        <v>0</v>
      </c>
      <c r="S34" s="25">
        <f>+IFERROR(IF(S$19=Takstblad!C$3,VLOOKUP('B3'!$A34,takstblad,3,FALSE)*'B3'!C34,"fejl i år"),0)</f>
        <v>0</v>
      </c>
      <c r="T34" s="25">
        <f>+IFERROR(IF(T$19=Takstblad!D$3,VLOOKUP('B3'!$A34,takstblad,4,FALSE)*'B3'!D34,"fejl i år"),0)</f>
        <v>0</v>
      </c>
      <c r="U34" s="25">
        <f>+IFERROR(IF(U$19=Takstblad!E$3,VLOOKUP('B3'!$A34,takstblad,5,FALSE)*'B3'!E34,"fejl i år"),0)</f>
        <v>0</v>
      </c>
      <c r="V34" s="25">
        <f>+IFERROR(IF(V$19=Takstblad!F$3,VLOOKUP('B3'!$A34,takstblad,6,FALSE)*'B3'!F34,"fejl i år"),0)</f>
        <v>0</v>
      </c>
      <c r="W34" s="25">
        <f>+IFERROR(IF(W$19=Takstblad!G$3,VLOOKUP('B3'!$A34,takstblad,7,FALSE)*'B3'!G34,"fejl i år"),0)</f>
        <v>0</v>
      </c>
      <c r="X34" s="25">
        <f>+IFERROR(IF(X$19=Takstblad!H$3,VLOOKUP('B3'!$A34,takstblad,8,FALSE)*'B3'!H34,"fejl i år"),0)</f>
        <v>0</v>
      </c>
      <c r="Y34" s="25">
        <f>+IFERROR(IF(Y$19=Takstblad!I$3,VLOOKUP('B3'!$A34,takstblad,9,FALSE)*'B3'!I34,"fejl i år"),0)</f>
        <v>0</v>
      </c>
      <c r="Z34" s="25">
        <f>+IFERROR(IF(Z$19=Takstblad!J$3,VLOOKUP('B3'!$A34,takstblad,10,FALSE)*'B3'!J34,"fejl i år"),0)</f>
        <v>0</v>
      </c>
      <c r="AA34" s="25">
        <f>+IFERROR(IF(AA$19=Takstblad!K$3,VLOOKUP('B3'!$A34,takstblad,10,FALSE)*'B3'!K34,"fejl i år"),0)</f>
        <v>0</v>
      </c>
      <c r="AB34" s="25">
        <f>+IFERROR(IF(AB$19=Takstblad!L$3,VLOOKUP('B3'!$A34,takstblad,10,FALSE)*'B3'!L34,"fejl i år"),0)</f>
        <v>0</v>
      </c>
      <c r="AC34" s="21">
        <f t="shared" ref="AC34:AC46" si="55">SUM(S34:AB34)</f>
        <v>0</v>
      </c>
      <c r="AD34" s="232"/>
      <c r="AE34" s="25">
        <f t="shared" si="40"/>
        <v>0</v>
      </c>
      <c r="AF34" s="25">
        <f t="shared" si="41"/>
        <v>0</v>
      </c>
      <c r="AG34" s="232"/>
      <c r="AH34" s="25">
        <f t="shared" si="42"/>
        <v>0</v>
      </c>
      <c r="AI34" s="25">
        <f t="shared" si="43"/>
        <v>0</v>
      </c>
      <c r="AJ34" s="232"/>
      <c r="AK34" s="25">
        <f t="shared" si="44"/>
        <v>0</v>
      </c>
      <c r="AL34" s="25">
        <f t="shared" si="45"/>
        <v>0</v>
      </c>
      <c r="AM34" s="232"/>
      <c r="AN34" s="25">
        <f t="shared" si="46"/>
        <v>0</v>
      </c>
      <c r="AO34" s="25">
        <f t="shared" si="47"/>
        <v>0</v>
      </c>
      <c r="AP34" s="232"/>
      <c r="AQ34" s="25">
        <f t="shared" si="48"/>
        <v>0</v>
      </c>
      <c r="AR34" s="25">
        <f t="shared" si="49"/>
        <v>0</v>
      </c>
      <c r="AS34" s="232"/>
      <c r="AT34" s="25">
        <f>+G34*($C$7/12)</f>
        <v>0</v>
      </c>
      <c r="AU34" s="25">
        <f>IFERROR(W34/AT34,0)</f>
        <v>0</v>
      </c>
      <c r="AV34" s="232"/>
      <c r="AW34" s="25">
        <f t="shared" si="52"/>
        <v>0</v>
      </c>
      <c r="AX34" s="25">
        <f t="shared" si="53"/>
        <v>0</v>
      </c>
      <c r="AY34" s="232"/>
      <c r="AZ34" s="25">
        <f t="shared" ref="AZ34:AZ43" si="56">+I34*($C$7/12)</f>
        <v>0</v>
      </c>
      <c r="BA34" s="25">
        <f t="shared" ref="BA34:BA46" si="57">IFERROR(Y34/AZ34,0)</f>
        <v>0</v>
      </c>
      <c r="BB34" s="232"/>
      <c r="BC34" s="25">
        <f t="shared" ref="BC34:BC43" si="58">+J34*($C$7/12)</f>
        <v>0</v>
      </c>
      <c r="BD34" s="25">
        <f t="shared" ref="BD34:BD46" si="59">IFERROR(Z34/BC34,0)</f>
        <v>0</v>
      </c>
      <c r="BE34" s="232"/>
      <c r="BF34" s="25">
        <f t="shared" ref="BF34:BF45" si="60">+K34*($C$7/12)</f>
        <v>0</v>
      </c>
      <c r="BG34" s="25">
        <f t="shared" ref="BG34:BG45" si="61">IFERROR(AB34/BF34,0)</f>
        <v>0</v>
      </c>
      <c r="BH34" s="232"/>
      <c r="BI34" s="25">
        <f t="shared" ref="BI34:BI45" si="62">+L34*($C$7/12)</f>
        <v>0</v>
      </c>
      <c r="BJ34" s="25">
        <f t="shared" ref="BJ34:BJ45" si="63">IFERROR(AB34/BI34,0)</f>
        <v>0</v>
      </c>
    </row>
    <row r="35" spans="1:66" ht="15.6" customHeight="1" x14ac:dyDescent="0.2">
      <c r="A35" s="223" t="s">
        <v>1314</v>
      </c>
      <c r="B35" s="224">
        <f>+VLOOKUP(A35,Takstblad!$A$33:$B$51,2,FALSE)</f>
        <v>0</v>
      </c>
      <c r="C35" s="299"/>
      <c r="D35" s="299"/>
      <c r="E35" s="299"/>
      <c r="F35" s="299"/>
      <c r="G35" s="299"/>
      <c r="H35" s="299"/>
      <c r="I35" s="299"/>
      <c r="J35" s="299"/>
      <c r="K35" s="299"/>
      <c r="L35" s="299"/>
      <c r="M35" s="19">
        <f t="shared" si="54"/>
        <v>0</v>
      </c>
      <c r="N35" s="299"/>
      <c r="O35" s="299" t="s">
        <v>113</v>
      </c>
      <c r="P35" s="223"/>
      <c r="Q35" s="229"/>
      <c r="R35" s="227">
        <f>+AC35</f>
        <v>0</v>
      </c>
      <c r="S35" s="226">
        <f>+IFERROR(IF(S$19=Takstblad!C$3,VLOOKUP('B1'!$A35,takstblad,3,FALSE)*'B1'!C35,"fejl i år"),0)</f>
        <v>0</v>
      </c>
      <c r="T35" s="226">
        <f>+IFERROR(IF(T$19=Takstblad!D$3,VLOOKUP('B3'!$A35,takstblad,4,FALSE)*'B3'!D35,"fejl i år"),0)</f>
        <v>0</v>
      </c>
      <c r="U35" s="226">
        <f>+IFERROR(IF(U$19=Takstblad!E$3,VLOOKUP('B3'!$A35,takstblad,5,FALSE)*'B3'!E35,"fejl i år"),0)</f>
        <v>0</v>
      </c>
      <c r="V35" s="226">
        <f>+IFERROR(IF(V$19=Takstblad!F$3,VLOOKUP('B3'!$A35,takstblad,6,FALSE)*'B3'!F35,"fejl i år"),0)</f>
        <v>0</v>
      </c>
      <c r="W35" s="226">
        <f>+IFERROR(IF(W$19=Takstblad!G$3,VLOOKUP('B3'!$A35,takstblad,7,FALSE)*'B3'!G35,"fejl i år"),0)</f>
        <v>0</v>
      </c>
      <c r="X35" s="226">
        <f>+IFERROR(IF(X$19=Takstblad!H$3,VLOOKUP('B3'!$A35,takstblad,8,FALSE)*'B3'!H35,"fejl i år"),0)</f>
        <v>0</v>
      </c>
      <c r="Y35" s="226">
        <f>+IFERROR(IF(Y$19=Takstblad!I$3,VLOOKUP('B3'!$A35,takstblad,9,FALSE)*'B3'!I35,"fejl i år"),0)</f>
        <v>0</v>
      </c>
      <c r="Z35" s="226">
        <f>+IFERROR(IF(Z$19=Takstblad!J$3,VLOOKUP('B3'!$A35,takstblad,10,FALSE)*'B3'!J35,"fejl i år"),0)</f>
        <v>0</v>
      </c>
      <c r="AA35" s="226">
        <f>+IFERROR(IF(AA$19=Takstblad!K$3,VLOOKUP('B3'!$A35,takstblad,10,FALSE)*'B3'!K35,"fejl i år"),0)</f>
        <v>0</v>
      </c>
      <c r="AB35" s="226">
        <f>+IFERROR(IF(AB$19=Takstblad!L$3,VLOOKUP('B3'!$A35,takstblad,10,FALSE)*'B3'!L35,"fejl i år"),0)</f>
        <v>0</v>
      </c>
      <c r="AC35" s="227">
        <f t="shared" si="55"/>
        <v>0</v>
      </c>
      <c r="AD35" s="232"/>
      <c r="AE35" s="228">
        <f t="shared" si="40"/>
        <v>0</v>
      </c>
      <c r="AF35" s="228">
        <f t="shared" si="41"/>
        <v>0</v>
      </c>
      <c r="AG35" s="232"/>
      <c r="AH35" s="228">
        <f t="shared" si="42"/>
        <v>0</v>
      </c>
      <c r="AI35" s="228">
        <f t="shared" si="43"/>
        <v>0</v>
      </c>
      <c r="AJ35" s="232"/>
      <c r="AK35" s="226">
        <f t="shared" si="44"/>
        <v>0</v>
      </c>
      <c r="AL35" s="226">
        <f t="shared" si="45"/>
        <v>0</v>
      </c>
      <c r="AM35" s="232"/>
      <c r="AN35" s="226">
        <f t="shared" si="46"/>
        <v>0</v>
      </c>
      <c r="AO35" s="226">
        <f t="shared" si="47"/>
        <v>0</v>
      </c>
      <c r="AP35" s="232"/>
      <c r="AQ35" s="226">
        <f t="shared" si="48"/>
        <v>0</v>
      </c>
      <c r="AR35" s="226">
        <f t="shared" si="49"/>
        <v>0</v>
      </c>
      <c r="AS35" s="232"/>
      <c r="AT35" s="226">
        <f t="shared" si="50"/>
        <v>0</v>
      </c>
      <c r="AU35" s="226">
        <f t="shared" si="51"/>
        <v>0</v>
      </c>
      <c r="AV35" s="232"/>
      <c r="AW35" s="226">
        <f t="shared" si="52"/>
        <v>0</v>
      </c>
      <c r="AX35" s="226">
        <f t="shared" si="53"/>
        <v>0</v>
      </c>
      <c r="AY35" s="232"/>
      <c r="AZ35" s="226">
        <f t="shared" si="56"/>
        <v>0</v>
      </c>
      <c r="BA35" s="226">
        <f t="shared" si="57"/>
        <v>0</v>
      </c>
      <c r="BB35" s="232"/>
      <c r="BC35" s="226">
        <f t="shared" si="58"/>
        <v>0</v>
      </c>
      <c r="BD35" s="226">
        <f t="shared" si="59"/>
        <v>0</v>
      </c>
      <c r="BE35" s="232"/>
      <c r="BF35" s="226">
        <f t="shared" si="60"/>
        <v>0</v>
      </c>
      <c r="BG35" s="226">
        <f t="shared" si="61"/>
        <v>0</v>
      </c>
      <c r="BH35" s="232"/>
      <c r="BI35" s="226">
        <f t="shared" si="62"/>
        <v>0</v>
      </c>
      <c r="BJ35" s="226">
        <f t="shared" si="63"/>
        <v>0</v>
      </c>
    </row>
    <row r="36" spans="1:66" ht="15.6" customHeight="1" x14ac:dyDescent="0.2">
      <c r="A36" s="7" t="s">
        <v>1314</v>
      </c>
      <c r="B36" s="4">
        <f>+VLOOKUP(A36,Takstblad!$A$33:$B$51,2,FALSE)</f>
        <v>0</v>
      </c>
      <c r="C36" s="299"/>
      <c r="D36" s="299"/>
      <c r="E36" s="299"/>
      <c r="F36" s="299"/>
      <c r="G36" s="299"/>
      <c r="H36" s="299"/>
      <c r="I36" s="299"/>
      <c r="J36" s="299"/>
      <c r="K36" s="299"/>
      <c r="L36" s="299"/>
      <c r="M36" s="19">
        <f t="shared" si="54"/>
        <v>0</v>
      </c>
      <c r="N36" s="299"/>
      <c r="O36" s="299" t="s">
        <v>113</v>
      </c>
      <c r="Q36" s="26"/>
      <c r="R36" s="21">
        <f t="shared" si="39"/>
        <v>0</v>
      </c>
      <c r="S36" s="25">
        <f>+IFERROR(IF(S$19=Takstblad!C$3,VLOOKUP('B3'!$A36,takstblad,3,FALSE)*'B3'!C36,"fejl i år"),0)</f>
        <v>0</v>
      </c>
      <c r="T36" s="25">
        <f>+IFERROR(IF(T$19=Takstblad!D$3,VLOOKUP('B3'!$A36,takstblad,4,FALSE)*'B3'!D36,"fejl i år"),0)</f>
        <v>0</v>
      </c>
      <c r="U36" s="25">
        <f>+IFERROR(IF(U$19=Takstblad!E$3,VLOOKUP('B3'!$A36,takstblad,5,FALSE)*'B3'!E36,"fejl i år"),0)</f>
        <v>0</v>
      </c>
      <c r="V36" s="25">
        <f>+IFERROR(IF(V$19=Takstblad!F$3,VLOOKUP('B3'!$A36,takstblad,6,FALSE)*'B3'!F36,"fejl i år"),0)</f>
        <v>0</v>
      </c>
      <c r="W36" s="25">
        <f>+IFERROR(IF(W$19=Takstblad!G$3,VLOOKUP('B3'!$A36,takstblad,7,FALSE)*'B3'!G36,"fejl i år"),0)</f>
        <v>0</v>
      </c>
      <c r="X36" s="25">
        <f>+IFERROR(IF(X$19=Takstblad!H$3,VLOOKUP('B3'!$A36,takstblad,8,FALSE)*'B3'!H36,"fejl i år"),0)</f>
        <v>0</v>
      </c>
      <c r="Y36" s="25">
        <f>+IFERROR(IF(Y$19=Takstblad!I$3,VLOOKUP('B3'!$A36,takstblad,9,FALSE)*'B3'!I36,"fejl i år"),0)</f>
        <v>0</v>
      </c>
      <c r="Z36" s="25">
        <f>+IFERROR(IF(Z$19=Takstblad!J$3,VLOOKUP('B3'!$A36,takstblad,10,FALSE)*'B3'!J36,"fejl i år"),0)</f>
        <v>0</v>
      </c>
      <c r="AA36" s="25">
        <f>+IFERROR(IF(AA$19=Takstblad!K$3,VLOOKUP('B3'!$A36,takstblad,10,FALSE)*'B3'!K36,"fejl i år"),0)</f>
        <v>0</v>
      </c>
      <c r="AB36" s="25">
        <f>+IFERROR(IF(AB$19=Takstblad!L$3,VLOOKUP('B3'!$A36,takstblad,10,FALSE)*'B3'!L36,"fejl i år"),0)</f>
        <v>0</v>
      </c>
      <c r="AC36" s="21">
        <f t="shared" si="55"/>
        <v>0</v>
      </c>
      <c r="AD36" s="232"/>
      <c r="AE36" s="25">
        <f t="shared" si="40"/>
        <v>0</v>
      </c>
      <c r="AF36" s="25">
        <f t="shared" si="41"/>
        <v>0</v>
      </c>
      <c r="AG36" s="232"/>
      <c r="AH36" s="25">
        <f t="shared" si="42"/>
        <v>0</v>
      </c>
      <c r="AI36" s="25">
        <f t="shared" si="43"/>
        <v>0</v>
      </c>
      <c r="AJ36" s="232"/>
      <c r="AK36" s="25">
        <f t="shared" si="44"/>
        <v>0</v>
      </c>
      <c r="AL36" s="25">
        <f t="shared" si="45"/>
        <v>0</v>
      </c>
      <c r="AM36" s="232"/>
      <c r="AN36" s="25">
        <f t="shared" si="46"/>
        <v>0</v>
      </c>
      <c r="AO36" s="25">
        <f t="shared" si="47"/>
        <v>0</v>
      </c>
      <c r="AP36" s="232"/>
      <c r="AQ36" s="25">
        <f t="shared" si="48"/>
        <v>0</v>
      </c>
      <c r="AR36" s="25">
        <f t="shared" si="49"/>
        <v>0</v>
      </c>
      <c r="AS36" s="232"/>
      <c r="AT36" s="25">
        <f t="shared" si="50"/>
        <v>0</v>
      </c>
      <c r="AU36" s="25">
        <f t="shared" si="51"/>
        <v>0</v>
      </c>
      <c r="AV36" s="232"/>
      <c r="AW36" s="25">
        <f t="shared" si="52"/>
        <v>0</v>
      </c>
      <c r="AX36" s="25">
        <f t="shared" si="53"/>
        <v>0</v>
      </c>
      <c r="AY36" s="232"/>
      <c r="AZ36" s="25">
        <f t="shared" si="56"/>
        <v>0</v>
      </c>
      <c r="BA36" s="25">
        <f t="shared" si="57"/>
        <v>0</v>
      </c>
      <c r="BB36" s="232"/>
      <c r="BC36" s="25">
        <f t="shared" si="58"/>
        <v>0</v>
      </c>
      <c r="BD36" s="25">
        <f t="shared" si="59"/>
        <v>0</v>
      </c>
      <c r="BE36" s="232"/>
      <c r="BF36" s="25">
        <f t="shared" si="60"/>
        <v>0</v>
      </c>
      <c r="BG36" s="25">
        <f t="shared" si="61"/>
        <v>0</v>
      </c>
      <c r="BH36" s="232"/>
      <c r="BI36" s="25">
        <f t="shared" si="62"/>
        <v>0</v>
      </c>
      <c r="BJ36" s="25">
        <f t="shared" si="63"/>
        <v>0</v>
      </c>
    </row>
    <row r="37" spans="1:66" ht="15.6" customHeight="1" x14ac:dyDescent="0.2">
      <c r="A37" s="223" t="s">
        <v>1314</v>
      </c>
      <c r="B37" s="224">
        <f>+VLOOKUP(A37,Takstblad!$A$33:$B$51,2,FALSE)</f>
        <v>0</v>
      </c>
      <c r="C37" s="299"/>
      <c r="D37" s="299"/>
      <c r="E37" s="299"/>
      <c r="F37" s="299"/>
      <c r="G37" s="299"/>
      <c r="H37" s="299"/>
      <c r="I37" s="299"/>
      <c r="J37" s="299"/>
      <c r="K37" s="299"/>
      <c r="L37" s="299"/>
      <c r="M37" s="19">
        <f t="shared" si="54"/>
        <v>0</v>
      </c>
      <c r="N37" s="299"/>
      <c r="O37" s="299" t="s">
        <v>113</v>
      </c>
      <c r="P37" s="223"/>
      <c r="Q37" s="229"/>
      <c r="R37" s="227">
        <f t="shared" si="39"/>
        <v>0</v>
      </c>
      <c r="S37" s="226">
        <f>+IFERROR(IF(S$19=Takstblad!C$3,VLOOKUP('B3'!$A37,takstblad,3,FALSE)*'B3'!C37,"fejl i år"),0)</f>
        <v>0</v>
      </c>
      <c r="T37" s="226">
        <f>+IFERROR(IF(T$19=Takstblad!D$3,VLOOKUP('B3'!$A37,takstblad,4,FALSE)*'B3'!D37,"fejl i år"),0)</f>
        <v>0</v>
      </c>
      <c r="U37" s="226">
        <f>+IFERROR(IF(U$19=Takstblad!E$3,VLOOKUP('B3'!$A37,takstblad,5,FALSE)*'B3'!E37,"fejl i år"),0)</f>
        <v>0</v>
      </c>
      <c r="V37" s="226">
        <f>+IFERROR(IF(V$19=Takstblad!F$3,VLOOKUP('B3'!$A37,takstblad,6,FALSE)*'B3'!F37,"fejl i år"),0)</f>
        <v>0</v>
      </c>
      <c r="W37" s="226">
        <f>+IFERROR(IF(W$19=Takstblad!G$3,VLOOKUP('B3'!$A37,takstblad,7,FALSE)*'B3'!G37,"fejl i år"),0)</f>
        <v>0</v>
      </c>
      <c r="X37" s="226">
        <f>+IFERROR(IF(X$19=Takstblad!H$3,VLOOKUP('B3'!$A37,takstblad,8,FALSE)*'B3'!H37,"fejl i år"),0)</f>
        <v>0</v>
      </c>
      <c r="Y37" s="226">
        <f>+IFERROR(IF(Y$19=Takstblad!I$3,VLOOKUP('B3'!$A37,takstblad,9,FALSE)*'B3'!I37,"fejl i år"),0)</f>
        <v>0</v>
      </c>
      <c r="Z37" s="226">
        <f>+IFERROR(IF(Z$19=Takstblad!J$3,VLOOKUP('B3'!$A37,takstblad,10,FALSE)*'B3'!J37,"fejl i år"),0)</f>
        <v>0</v>
      </c>
      <c r="AA37" s="226">
        <f>+IFERROR(IF(AA$19=Takstblad!K$3,VLOOKUP('B3'!$A37,takstblad,10,FALSE)*'B3'!K37,"fejl i år"),0)</f>
        <v>0</v>
      </c>
      <c r="AB37" s="226">
        <f>+IFERROR(IF(AB$19=Takstblad!L$3,VLOOKUP('B3'!$A37,takstblad,10,FALSE)*'B3'!L37,"fejl i år"),0)</f>
        <v>0</v>
      </c>
      <c r="AC37" s="227">
        <f t="shared" si="55"/>
        <v>0</v>
      </c>
      <c r="AD37" s="232"/>
      <c r="AE37" s="228">
        <f t="shared" si="40"/>
        <v>0</v>
      </c>
      <c r="AF37" s="228">
        <f t="shared" si="41"/>
        <v>0</v>
      </c>
      <c r="AG37" s="232"/>
      <c r="AH37" s="228">
        <f t="shared" si="42"/>
        <v>0</v>
      </c>
      <c r="AI37" s="228">
        <f t="shared" si="43"/>
        <v>0</v>
      </c>
      <c r="AJ37" s="232"/>
      <c r="AK37" s="226">
        <f t="shared" si="44"/>
        <v>0</v>
      </c>
      <c r="AL37" s="226">
        <f t="shared" si="45"/>
        <v>0</v>
      </c>
      <c r="AM37" s="232"/>
      <c r="AN37" s="226">
        <f t="shared" si="46"/>
        <v>0</v>
      </c>
      <c r="AO37" s="226">
        <f t="shared" si="47"/>
        <v>0</v>
      </c>
      <c r="AP37" s="232"/>
      <c r="AQ37" s="226">
        <f t="shared" si="48"/>
        <v>0</v>
      </c>
      <c r="AR37" s="226">
        <f t="shared" si="49"/>
        <v>0</v>
      </c>
      <c r="AS37" s="232"/>
      <c r="AT37" s="226">
        <f t="shared" si="50"/>
        <v>0</v>
      </c>
      <c r="AU37" s="226">
        <f t="shared" si="51"/>
        <v>0</v>
      </c>
      <c r="AV37" s="232"/>
      <c r="AW37" s="226">
        <f t="shared" si="52"/>
        <v>0</v>
      </c>
      <c r="AX37" s="226">
        <f t="shared" si="53"/>
        <v>0</v>
      </c>
      <c r="AY37" s="232"/>
      <c r="AZ37" s="226">
        <f t="shared" si="56"/>
        <v>0</v>
      </c>
      <c r="BA37" s="226">
        <f t="shared" si="57"/>
        <v>0</v>
      </c>
      <c r="BB37" s="232"/>
      <c r="BC37" s="226">
        <f t="shared" si="58"/>
        <v>0</v>
      </c>
      <c r="BD37" s="226">
        <f t="shared" si="59"/>
        <v>0</v>
      </c>
      <c r="BE37" s="232"/>
      <c r="BF37" s="226">
        <f t="shared" si="60"/>
        <v>0</v>
      </c>
      <c r="BG37" s="226">
        <f t="shared" si="61"/>
        <v>0</v>
      </c>
      <c r="BH37" s="232"/>
      <c r="BI37" s="226">
        <f t="shared" si="62"/>
        <v>0</v>
      </c>
      <c r="BJ37" s="226">
        <f t="shared" si="63"/>
        <v>0</v>
      </c>
    </row>
    <row r="38" spans="1:66" ht="15.6" customHeight="1" x14ac:dyDescent="0.2">
      <c r="A38" s="7" t="s">
        <v>1314</v>
      </c>
      <c r="B38" s="4">
        <f>+VLOOKUP(A38,Takstblad!$A$33:$B$51,2,FALSE)</f>
        <v>0</v>
      </c>
      <c r="C38" s="299"/>
      <c r="D38" s="299"/>
      <c r="E38" s="299"/>
      <c r="F38" s="299"/>
      <c r="G38" s="299"/>
      <c r="H38" s="299"/>
      <c r="I38" s="299"/>
      <c r="J38" s="299"/>
      <c r="K38" s="299"/>
      <c r="L38" s="299"/>
      <c r="M38" s="19">
        <f t="shared" si="54"/>
        <v>0</v>
      </c>
      <c r="N38" s="299"/>
      <c r="O38" s="299" t="s">
        <v>113</v>
      </c>
      <c r="Q38" s="26"/>
      <c r="R38" s="21">
        <f t="shared" si="39"/>
        <v>0</v>
      </c>
      <c r="S38" s="25">
        <f>+IFERROR(IF(S$19=Takstblad!C$3,VLOOKUP('B3'!$A38,takstblad,3,FALSE)*'B3'!C38,"fejl i år"),0)</f>
        <v>0</v>
      </c>
      <c r="T38" s="25">
        <f>+IFERROR(IF(T$19=Takstblad!D$3,VLOOKUP('B3'!$A38,takstblad,4,FALSE)*'B3'!D38,"fejl i år"),0)</f>
        <v>0</v>
      </c>
      <c r="U38" s="25">
        <f>+IFERROR(IF(U$19=Takstblad!E$3,VLOOKUP('B3'!$A38,takstblad,5,FALSE)*'B3'!E38,"fejl i år"),0)</f>
        <v>0</v>
      </c>
      <c r="V38" s="25">
        <f>+IFERROR(IF(V$19=Takstblad!F$3,VLOOKUP('B3'!$A38,takstblad,6,FALSE)*'B3'!F38,"fejl i år"),0)</f>
        <v>0</v>
      </c>
      <c r="W38" s="25">
        <f>+IFERROR(IF(W$19=Takstblad!G$3,VLOOKUP('B3'!$A38,takstblad,7,FALSE)*'B3'!G38,"fejl i år"),0)</f>
        <v>0</v>
      </c>
      <c r="X38" s="25">
        <f>+IFERROR(IF(X$19=Takstblad!H$3,VLOOKUP('B3'!$A38,takstblad,8,FALSE)*'B3'!H38,"fejl i år"),0)</f>
        <v>0</v>
      </c>
      <c r="Y38" s="25">
        <f>+IFERROR(IF(Y$19=Takstblad!I$3,VLOOKUP('B3'!$A38,takstblad,9,FALSE)*'B3'!I38,"fejl i år"),0)</f>
        <v>0</v>
      </c>
      <c r="Z38" s="25">
        <f>+IFERROR(IF(Z$19=Takstblad!J$3,VLOOKUP('B3'!$A38,takstblad,10,FALSE)*'B3'!J38,"fejl i år"),0)</f>
        <v>0</v>
      </c>
      <c r="AA38" s="25">
        <f>+IFERROR(IF(AA$19=Takstblad!K$3,VLOOKUP('B3'!$A38,takstblad,10,FALSE)*'B3'!K38,"fejl i år"),0)</f>
        <v>0</v>
      </c>
      <c r="AB38" s="25">
        <f>+IFERROR(IF(AB$19=Takstblad!L$3,VLOOKUP('B3'!$A38,takstblad,10,FALSE)*'B3'!L38,"fejl i år"),0)</f>
        <v>0</v>
      </c>
      <c r="AC38" s="21">
        <f t="shared" si="55"/>
        <v>0</v>
      </c>
      <c r="AD38" s="232"/>
      <c r="AE38" s="25">
        <f t="shared" si="40"/>
        <v>0</v>
      </c>
      <c r="AF38" s="25">
        <f t="shared" si="41"/>
        <v>0</v>
      </c>
      <c r="AG38" s="232"/>
      <c r="AH38" s="25">
        <f t="shared" si="42"/>
        <v>0</v>
      </c>
      <c r="AI38" s="25">
        <f t="shared" si="43"/>
        <v>0</v>
      </c>
      <c r="AJ38" s="232"/>
      <c r="AK38" s="25">
        <f t="shared" si="44"/>
        <v>0</v>
      </c>
      <c r="AL38" s="25">
        <f t="shared" si="45"/>
        <v>0</v>
      </c>
      <c r="AM38" s="232"/>
      <c r="AN38" s="25">
        <f t="shared" si="46"/>
        <v>0</v>
      </c>
      <c r="AO38" s="25">
        <f t="shared" si="47"/>
        <v>0</v>
      </c>
      <c r="AP38" s="232"/>
      <c r="AQ38" s="25">
        <f t="shared" si="48"/>
        <v>0</v>
      </c>
      <c r="AR38" s="25">
        <f t="shared" si="49"/>
        <v>0</v>
      </c>
      <c r="AS38" s="232"/>
      <c r="AT38" s="25">
        <f t="shared" si="50"/>
        <v>0</v>
      </c>
      <c r="AU38" s="25">
        <f t="shared" si="51"/>
        <v>0</v>
      </c>
      <c r="AV38" s="232"/>
      <c r="AW38" s="25">
        <f t="shared" si="52"/>
        <v>0</v>
      </c>
      <c r="AX38" s="25">
        <f t="shared" si="53"/>
        <v>0</v>
      </c>
      <c r="AY38" s="232"/>
      <c r="AZ38" s="25">
        <f t="shared" si="56"/>
        <v>0</v>
      </c>
      <c r="BA38" s="25">
        <f t="shared" si="57"/>
        <v>0</v>
      </c>
      <c r="BB38" s="232"/>
      <c r="BC38" s="25">
        <f t="shared" si="58"/>
        <v>0</v>
      </c>
      <c r="BD38" s="25">
        <f t="shared" si="59"/>
        <v>0</v>
      </c>
      <c r="BE38" s="232"/>
      <c r="BF38" s="25">
        <f t="shared" si="60"/>
        <v>0</v>
      </c>
      <c r="BG38" s="25">
        <f t="shared" si="61"/>
        <v>0</v>
      </c>
      <c r="BH38" s="232"/>
      <c r="BI38" s="25">
        <f t="shared" si="62"/>
        <v>0</v>
      </c>
      <c r="BJ38" s="25">
        <f t="shared" si="63"/>
        <v>0</v>
      </c>
    </row>
    <row r="39" spans="1:66" ht="15.6" customHeight="1" x14ac:dyDescent="0.2">
      <c r="A39" s="223" t="s">
        <v>1314</v>
      </c>
      <c r="B39" s="224">
        <f>+VLOOKUP(A39,Takstblad!$A$33:$B$51,2,FALSE)</f>
        <v>0</v>
      </c>
      <c r="C39" s="299"/>
      <c r="D39" s="299"/>
      <c r="E39" s="299"/>
      <c r="F39" s="299"/>
      <c r="G39" s="299"/>
      <c r="H39" s="299"/>
      <c r="I39" s="299"/>
      <c r="J39" s="299"/>
      <c r="K39" s="299"/>
      <c r="L39" s="299"/>
      <c r="M39" s="19">
        <f t="shared" si="54"/>
        <v>0</v>
      </c>
      <c r="N39" s="299"/>
      <c r="O39" s="299" t="s">
        <v>113</v>
      </c>
      <c r="P39" s="223"/>
      <c r="Q39" s="229"/>
      <c r="R39" s="227">
        <f t="shared" si="39"/>
        <v>0</v>
      </c>
      <c r="S39" s="226">
        <f>+IFERROR(IF(S$19=Takstblad!C$3,VLOOKUP('B3'!$A39,takstblad,3,FALSE)*'B3'!C39,"fejl i år"),0)</f>
        <v>0</v>
      </c>
      <c r="T39" s="226">
        <f>+IFERROR(IF(T$19=Takstblad!D$3,VLOOKUP('B3'!$A39,takstblad,4,FALSE)*'B3'!D39,"fejl i år"),0)</f>
        <v>0</v>
      </c>
      <c r="U39" s="226">
        <f>+IFERROR(IF(U$19=Takstblad!E$3,VLOOKUP('B3'!$A39,takstblad,5,FALSE)*'B3'!E39,"fejl i år"),0)</f>
        <v>0</v>
      </c>
      <c r="V39" s="226">
        <f>+IFERROR(IF(V$19=Takstblad!F$3,VLOOKUP('B3'!$A39,takstblad,6,FALSE)*'B3'!F39,"fejl i år"),0)</f>
        <v>0</v>
      </c>
      <c r="W39" s="226">
        <f>+IFERROR(IF(W$19=Takstblad!G$3,VLOOKUP('B3'!$A39,takstblad,7,FALSE)*'B3'!G39,"fejl i år"),0)</f>
        <v>0</v>
      </c>
      <c r="X39" s="226">
        <f>+IFERROR(IF(X$19=Takstblad!H$3,VLOOKUP('B3'!$A39,takstblad,8,FALSE)*'B3'!H39,"fejl i år"),0)</f>
        <v>0</v>
      </c>
      <c r="Y39" s="226">
        <f>+IFERROR(IF(Y$19=Takstblad!I$3,VLOOKUP('B3'!$A39,takstblad,9,FALSE)*'B3'!I39,"fejl i år"),0)</f>
        <v>0</v>
      </c>
      <c r="Z39" s="226">
        <f>+IFERROR(IF(Z$19=Takstblad!J$3,VLOOKUP('B3'!$A39,takstblad,10,FALSE)*'B3'!J39,"fejl i år"),0)</f>
        <v>0</v>
      </c>
      <c r="AA39" s="226">
        <f>+IFERROR(IF(AA$19=Takstblad!K$3,VLOOKUP('B3'!$A39,takstblad,10,FALSE)*'B3'!K39,"fejl i år"),0)</f>
        <v>0</v>
      </c>
      <c r="AB39" s="226">
        <f>+IFERROR(IF(AB$19=Takstblad!L$3,VLOOKUP('B3'!$A39,takstblad,10,FALSE)*'B3'!L39,"fejl i år"),0)</f>
        <v>0</v>
      </c>
      <c r="AC39" s="227">
        <f t="shared" si="55"/>
        <v>0</v>
      </c>
      <c r="AD39" s="232"/>
      <c r="AE39" s="228">
        <f t="shared" si="40"/>
        <v>0</v>
      </c>
      <c r="AF39" s="228">
        <f t="shared" si="41"/>
        <v>0</v>
      </c>
      <c r="AG39" s="232"/>
      <c r="AH39" s="228">
        <f t="shared" si="42"/>
        <v>0</v>
      </c>
      <c r="AI39" s="228">
        <f t="shared" si="43"/>
        <v>0</v>
      </c>
      <c r="AJ39" s="232"/>
      <c r="AK39" s="226">
        <f t="shared" si="44"/>
        <v>0</v>
      </c>
      <c r="AL39" s="226">
        <f t="shared" si="45"/>
        <v>0</v>
      </c>
      <c r="AM39" s="232"/>
      <c r="AN39" s="226">
        <f t="shared" si="46"/>
        <v>0</v>
      </c>
      <c r="AO39" s="226">
        <f t="shared" si="47"/>
        <v>0</v>
      </c>
      <c r="AP39" s="232"/>
      <c r="AQ39" s="226">
        <f t="shared" si="48"/>
        <v>0</v>
      </c>
      <c r="AR39" s="226">
        <f t="shared" si="49"/>
        <v>0</v>
      </c>
      <c r="AS39" s="232"/>
      <c r="AT39" s="226">
        <f t="shared" si="50"/>
        <v>0</v>
      </c>
      <c r="AU39" s="226">
        <f t="shared" si="51"/>
        <v>0</v>
      </c>
      <c r="AV39" s="232"/>
      <c r="AW39" s="226">
        <f t="shared" si="52"/>
        <v>0</v>
      </c>
      <c r="AX39" s="226">
        <f t="shared" si="53"/>
        <v>0</v>
      </c>
      <c r="AY39" s="232"/>
      <c r="AZ39" s="226">
        <f t="shared" si="56"/>
        <v>0</v>
      </c>
      <c r="BA39" s="226">
        <f t="shared" si="57"/>
        <v>0</v>
      </c>
      <c r="BB39" s="232"/>
      <c r="BC39" s="226">
        <f t="shared" si="58"/>
        <v>0</v>
      </c>
      <c r="BD39" s="226">
        <f t="shared" si="59"/>
        <v>0</v>
      </c>
      <c r="BE39" s="232"/>
      <c r="BF39" s="226">
        <f t="shared" si="60"/>
        <v>0</v>
      </c>
      <c r="BG39" s="226">
        <f t="shared" si="61"/>
        <v>0</v>
      </c>
      <c r="BH39" s="232"/>
      <c r="BI39" s="226">
        <f t="shared" si="62"/>
        <v>0</v>
      </c>
      <c r="BJ39" s="226">
        <f t="shared" si="63"/>
        <v>0</v>
      </c>
    </row>
    <row r="40" spans="1:66" ht="15.6" customHeight="1" x14ac:dyDescent="0.2">
      <c r="A40" s="7" t="s">
        <v>1314</v>
      </c>
      <c r="B40" s="4">
        <f>+VLOOKUP(A40,Takstblad!$A$33:$B$51,2,FALSE)</f>
        <v>0</v>
      </c>
      <c r="C40" s="299"/>
      <c r="D40" s="299"/>
      <c r="E40" s="299"/>
      <c r="F40" s="299"/>
      <c r="G40" s="299"/>
      <c r="H40" s="299"/>
      <c r="I40" s="299"/>
      <c r="J40" s="299"/>
      <c r="K40" s="299"/>
      <c r="L40" s="299"/>
      <c r="M40" s="19">
        <f t="shared" si="54"/>
        <v>0</v>
      </c>
      <c r="N40" s="299"/>
      <c r="O40" s="299" t="s">
        <v>113</v>
      </c>
      <c r="Q40" s="26"/>
      <c r="R40" s="21">
        <f t="shared" si="39"/>
        <v>0</v>
      </c>
      <c r="S40" s="25">
        <f>+IFERROR(IF(S$19=Takstblad!C$3,VLOOKUP('B3'!$A40,takstblad,3,FALSE)*'B3'!C40,"fejl i år"),0)</f>
        <v>0</v>
      </c>
      <c r="T40" s="25">
        <f>+IFERROR(IF(T$19=Takstblad!D$3,VLOOKUP('B3'!$A40,takstblad,4,FALSE)*'B3'!D40,"fejl i år"),0)</f>
        <v>0</v>
      </c>
      <c r="U40" s="25">
        <f>+IFERROR(IF(U$19=Takstblad!E$3,VLOOKUP('B3'!$A40,takstblad,5,FALSE)*'B3'!E40,"fejl i år"),0)</f>
        <v>0</v>
      </c>
      <c r="V40" s="25">
        <f>+IFERROR(IF(V$19=Takstblad!F$3,VLOOKUP('B3'!$A40,takstblad,6,FALSE)*'B3'!F40,"fejl i år"),0)</f>
        <v>0</v>
      </c>
      <c r="W40" s="25">
        <f>+IFERROR(IF(W$19=Takstblad!G$3,VLOOKUP('B3'!$A40,takstblad,7,FALSE)*'B3'!G40,"fejl i år"),0)</f>
        <v>0</v>
      </c>
      <c r="X40" s="25">
        <f>+IFERROR(IF(X$19=Takstblad!H$3,VLOOKUP('B3'!$A40,takstblad,8,FALSE)*'B3'!H40,"fejl i år"),0)</f>
        <v>0</v>
      </c>
      <c r="Y40" s="25">
        <f>+IFERROR(IF(Y$19=Takstblad!I$3,VLOOKUP('B3'!$A40,takstblad,9,FALSE)*'B3'!I40,"fejl i år"),0)</f>
        <v>0</v>
      </c>
      <c r="Z40" s="25">
        <f>+IFERROR(IF(Z$19=Takstblad!J$3,VLOOKUP('B3'!$A40,takstblad,10,FALSE)*'B3'!J40,"fejl i år"),0)</f>
        <v>0</v>
      </c>
      <c r="AA40" s="25">
        <f>+IFERROR(IF(AA$19=Takstblad!K$3,VLOOKUP('B3'!$A40,takstblad,10,FALSE)*'B3'!K40,"fejl i år"),0)</f>
        <v>0</v>
      </c>
      <c r="AB40" s="25">
        <f>+IFERROR(IF(AB$19=Takstblad!L$3,VLOOKUP('B3'!$A40,takstblad,10,FALSE)*'B3'!L40,"fejl i år"),0)</f>
        <v>0</v>
      </c>
      <c r="AC40" s="21">
        <f t="shared" si="55"/>
        <v>0</v>
      </c>
      <c r="AD40" s="232"/>
      <c r="AE40" s="25">
        <f t="shared" si="40"/>
        <v>0</v>
      </c>
      <c r="AF40" s="25">
        <f t="shared" si="41"/>
        <v>0</v>
      </c>
      <c r="AG40" s="232"/>
      <c r="AH40" s="25">
        <f t="shared" si="42"/>
        <v>0</v>
      </c>
      <c r="AI40" s="25">
        <f t="shared" si="43"/>
        <v>0</v>
      </c>
      <c r="AJ40" s="232"/>
      <c r="AK40" s="25">
        <f t="shared" si="44"/>
        <v>0</v>
      </c>
      <c r="AL40" s="25">
        <f t="shared" si="45"/>
        <v>0</v>
      </c>
      <c r="AM40" s="232"/>
      <c r="AN40" s="25">
        <f t="shared" si="46"/>
        <v>0</v>
      </c>
      <c r="AO40" s="25">
        <f t="shared" si="47"/>
        <v>0</v>
      </c>
      <c r="AP40" s="232"/>
      <c r="AQ40" s="25">
        <f t="shared" si="48"/>
        <v>0</v>
      </c>
      <c r="AR40" s="25">
        <f t="shared" si="49"/>
        <v>0</v>
      </c>
      <c r="AS40" s="232"/>
      <c r="AT40" s="25">
        <f t="shared" si="50"/>
        <v>0</v>
      </c>
      <c r="AU40" s="25">
        <f t="shared" si="51"/>
        <v>0</v>
      </c>
      <c r="AV40" s="232"/>
      <c r="AW40" s="25">
        <f t="shared" si="52"/>
        <v>0</v>
      </c>
      <c r="AX40" s="25">
        <f t="shared" si="53"/>
        <v>0</v>
      </c>
      <c r="AY40" s="232"/>
      <c r="AZ40" s="25">
        <f t="shared" si="56"/>
        <v>0</v>
      </c>
      <c r="BA40" s="25">
        <f t="shared" si="57"/>
        <v>0</v>
      </c>
      <c r="BB40" s="232"/>
      <c r="BC40" s="25">
        <f t="shared" si="58"/>
        <v>0</v>
      </c>
      <c r="BD40" s="25">
        <f t="shared" si="59"/>
        <v>0</v>
      </c>
      <c r="BE40" s="232"/>
      <c r="BF40" s="25">
        <f t="shared" si="60"/>
        <v>0</v>
      </c>
      <c r="BG40" s="25">
        <f t="shared" si="61"/>
        <v>0</v>
      </c>
      <c r="BH40" s="232"/>
      <c r="BI40" s="25">
        <f t="shared" si="62"/>
        <v>0</v>
      </c>
      <c r="BJ40" s="25">
        <f t="shared" si="63"/>
        <v>0</v>
      </c>
    </row>
    <row r="41" spans="1:66" ht="15.6" customHeight="1" x14ac:dyDescent="0.2">
      <c r="A41" s="223" t="s">
        <v>1314</v>
      </c>
      <c r="B41" s="224">
        <f>+VLOOKUP(A41,Takstblad!$A$33:$B$51,2,FALSE)</f>
        <v>0</v>
      </c>
      <c r="C41" s="299"/>
      <c r="D41" s="299"/>
      <c r="E41" s="299"/>
      <c r="F41" s="299"/>
      <c r="G41" s="299"/>
      <c r="H41" s="299"/>
      <c r="I41" s="299"/>
      <c r="J41" s="299"/>
      <c r="K41" s="299"/>
      <c r="L41" s="299"/>
      <c r="M41" s="19">
        <f t="shared" si="54"/>
        <v>0</v>
      </c>
      <c r="N41" s="299"/>
      <c r="O41" s="299" t="s">
        <v>113</v>
      </c>
      <c r="P41" s="223"/>
      <c r="Q41" s="229"/>
      <c r="R41" s="227">
        <f t="shared" si="39"/>
        <v>0</v>
      </c>
      <c r="S41" s="226">
        <f>+IFERROR(IF(S$19=Takstblad!C$3,VLOOKUP('B3'!$A41,takstblad,3,FALSE)*'B3'!C41,"fejl i år"),0)</f>
        <v>0</v>
      </c>
      <c r="T41" s="226">
        <f>+IFERROR(IF(T$19=Takstblad!D$3,VLOOKUP('B3'!$A41,takstblad,4,FALSE)*'B3'!D41,"fejl i år"),0)</f>
        <v>0</v>
      </c>
      <c r="U41" s="226">
        <f>+IFERROR(IF(U$19=Takstblad!E$3,VLOOKUP('B3'!$A41,takstblad,5,FALSE)*'B3'!E41,"fejl i år"),0)</f>
        <v>0</v>
      </c>
      <c r="V41" s="226">
        <f>+IFERROR(IF(V$19=Takstblad!F$3,VLOOKUP('B3'!$A41,takstblad,6,FALSE)*'B3'!F41,"fejl i år"),0)</f>
        <v>0</v>
      </c>
      <c r="W41" s="226">
        <f>+IFERROR(IF(W$19=Takstblad!G$3,VLOOKUP('B3'!$A41,takstblad,7,FALSE)*'B3'!G41,"fejl i år"),0)</f>
        <v>0</v>
      </c>
      <c r="X41" s="226">
        <f>+IFERROR(IF(X$19=Takstblad!H$3,VLOOKUP('B3'!$A41,takstblad,8,FALSE)*'B3'!H41,"fejl i år"),0)</f>
        <v>0</v>
      </c>
      <c r="Y41" s="226">
        <f>+IFERROR(IF(Y$19=Takstblad!I$3,VLOOKUP('B3'!$A41,takstblad,9,FALSE)*'B3'!I41,"fejl i år"),0)</f>
        <v>0</v>
      </c>
      <c r="Z41" s="226">
        <f>+IFERROR(IF(Z$19=Takstblad!J$3,VLOOKUP('B3'!$A41,takstblad,10,FALSE)*'B3'!J41,"fejl i år"),0)</f>
        <v>0</v>
      </c>
      <c r="AA41" s="226">
        <f>+IFERROR(IF(AA$19=Takstblad!K$3,VLOOKUP('B3'!$A41,takstblad,10,FALSE)*'B3'!K41,"fejl i år"),0)</f>
        <v>0</v>
      </c>
      <c r="AB41" s="226">
        <f>+IFERROR(IF(AB$19=Takstblad!L$3,VLOOKUP('B3'!$A41,takstblad,10,FALSE)*'B3'!L41,"fejl i år"),0)</f>
        <v>0</v>
      </c>
      <c r="AC41" s="227">
        <f t="shared" si="55"/>
        <v>0</v>
      </c>
      <c r="AD41" s="232"/>
      <c r="AE41" s="228">
        <f t="shared" si="40"/>
        <v>0</v>
      </c>
      <c r="AF41" s="228">
        <f t="shared" si="41"/>
        <v>0</v>
      </c>
      <c r="AG41" s="232"/>
      <c r="AH41" s="228">
        <f t="shared" si="42"/>
        <v>0</v>
      </c>
      <c r="AI41" s="228">
        <f t="shared" si="43"/>
        <v>0</v>
      </c>
      <c r="AJ41" s="232"/>
      <c r="AK41" s="226">
        <f t="shared" si="44"/>
        <v>0</v>
      </c>
      <c r="AL41" s="226">
        <f t="shared" si="45"/>
        <v>0</v>
      </c>
      <c r="AM41" s="232"/>
      <c r="AN41" s="226">
        <f t="shared" si="46"/>
        <v>0</v>
      </c>
      <c r="AO41" s="226">
        <f t="shared" si="47"/>
        <v>0</v>
      </c>
      <c r="AP41" s="232"/>
      <c r="AQ41" s="226">
        <f t="shared" si="48"/>
        <v>0</v>
      </c>
      <c r="AR41" s="226">
        <f t="shared" si="49"/>
        <v>0</v>
      </c>
      <c r="AS41" s="232"/>
      <c r="AT41" s="226">
        <f t="shared" si="50"/>
        <v>0</v>
      </c>
      <c r="AU41" s="226">
        <f t="shared" si="51"/>
        <v>0</v>
      </c>
      <c r="AV41" s="232"/>
      <c r="AW41" s="226">
        <f t="shared" si="52"/>
        <v>0</v>
      </c>
      <c r="AX41" s="226">
        <f t="shared" si="53"/>
        <v>0</v>
      </c>
      <c r="AY41" s="232"/>
      <c r="AZ41" s="226">
        <f t="shared" si="56"/>
        <v>0</v>
      </c>
      <c r="BA41" s="226">
        <f t="shared" si="57"/>
        <v>0</v>
      </c>
      <c r="BB41" s="232"/>
      <c r="BC41" s="226">
        <f t="shared" si="58"/>
        <v>0</v>
      </c>
      <c r="BD41" s="226">
        <f t="shared" si="59"/>
        <v>0</v>
      </c>
      <c r="BE41" s="232"/>
      <c r="BF41" s="226">
        <f t="shared" si="60"/>
        <v>0</v>
      </c>
      <c r="BG41" s="226">
        <f t="shared" si="61"/>
        <v>0</v>
      </c>
      <c r="BH41" s="232"/>
      <c r="BI41" s="226">
        <f t="shared" si="62"/>
        <v>0</v>
      </c>
      <c r="BJ41" s="226">
        <f t="shared" si="63"/>
        <v>0</v>
      </c>
    </row>
    <row r="42" spans="1:66" ht="15.6" customHeight="1" x14ac:dyDescent="0.2">
      <c r="A42" s="7" t="s">
        <v>1314</v>
      </c>
      <c r="B42" s="4">
        <f>+VLOOKUP(A42,Takstblad!$A$33:$B$51,2,FALSE)</f>
        <v>0</v>
      </c>
      <c r="C42" s="299"/>
      <c r="D42" s="299"/>
      <c r="E42" s="299"/>
      <c r="F42" s="299"/>
      <c r="G42" s="299"/>
      <c r="H42" s="299"/>
      <c r="I42" s="299"/>
      <c r="J42" s="299"/>
      <c r="K42" s="299"/>
      <c r="L42" s="299"/>
      <c r="M42" s="19">
        <f t="shared" si="54"/>
        <v>0</v>
      </c>
      <c r="N42" s="299"/>
      <c r="O42" s="299" t="s">
        <v>113</v>
      </c>
      <c r="Q42" s="23"/>
      <c r="R42" s="21">
        <f t="shared" si="39"/>
        <v>0</v>
      </c>
      <c r="S42" s="25">
        <f>+IFERROR(IF(S$19=Takstblad!C$3,VLOOKUP('B3'!$A42,takstblad,3,FALSE)*'B3'!C42,"fejl i år"),0)</f>
        <v>0</v>
      </c>
      <c r="T42" s="25">
        <f>+IFERROR(IF(T$19=Takstblad!D$3,VLOOKUP('B3'!$A42,takstblad,4,FALSE)*'B3'!D42,"fejl i år"),0)</f>
        <v>0</v>
      </c>
      <c r="U42" s="25">
        <f>+IFERROR(IF(U$19=Takstblad!E$3,VLOOKUP('B3'!$A42,takstblad,5,FALSE)*'B3'!E42,"fejl i år"),0)</f>
        <v>0</v>
      </c>
      <c r="V42" s="25">
        <f>+IFERROR(IF(V$19=Takstblad!F$3,VLOOKUP('B3'!$A42,takstblad,6,FALSE)*'B3'!F42,"fejl i år"),0)</f>
        <v>0</v>
      </c>
      <c r="W42" s="25">
        <f>+IFERROR(IF(W$19=Takstblad!G$3,VLOOKUP('B3'!$A42,takstblad,7,FALSE)*'B3'!G42,"fejl i år"),0)</f>
        <v>0</v>
      </c>
      <c r="X42" s="25">
        <f>+IFERROR(IF(X$19=Takstblad!H$3,VLOOKUP('B3'!$A42,takstblad,8,FALSE)*'B3'!H42,"fejl i år"),0)</f>
        <v>0</v>
      </c>
      <c r="Y42" s="25">
        <f>+IFERROR(IF(Y$19=Takstblad!I$3,VLOOKUP('B3'!$A42,takstblad,9,FALSE)*'B3'!I42,"fejl i år"),0)</f>
        <v>0</v>
      </c>
      <c r="Z42" s="25">
        <f>+IFERROR(IF(Z$19=Takstblad!J$3,VLOOKUP('B3'!$A42,takstblad,10,FALSE)*'B3'!J42,"fejl i år"),0)</f>
        <v>0</v>
      </c>
      <c r="AA42" s="25">
        <f>+IFERROR(IF(AA$19=Takstblad!K$3,VLOOKUP('B3'!$A42,takstblad,10,FALSE)*'B3'!K42,"fejl i år"),0)</f>
        <v>0</v>
      </c>
      <c r="AB42" s="25">
        <f>+IFERROR(IF(AB$19=Takstblad!L$3,VLOOKUP('B3'!$A42,takstblad,10,FALSE)*'B3'!L42,"fejl i år"),0)</f>
        <v>0</v>
      </c>
      <c r="AC42" s="21">
        <f t="shared" si="55"/>
        <v>0</v>
      </c>
      <c r="AD42" s="232"/>
      <c r="AE42" s="25">
        <f t="shared" si="40"/>
        <v>0</v>
      </c>
      <c r="AF42" s="25">
        <f t="shared" si="41"/>
        <v>0</v>
      </c>
      <c r="AG42" s="232"/>
      <c r="AH42" s="25">
        <f t="shared" si="42"/>
        <v>0</v>
      </c>
      <c r="AI42" s="25">
        <f t="shared" si="43"/>
        <v>0</v>
      </c>
      <c r="AJ42" s="232"/>
      <c r="AK42" s="25">
        <f t="shared" si="44"/>
        <v>0</v>
      </c>
      <c r="AL42" s="25">
        <f t="shared" si="45"/>
        <v>0</v>
      </c>
      <c r="AM42" s="232"/>
      <c r="AN42" s="25">
        <f t="shared" si="46"/>
        <v>0</v>
      </c>
      <c r="AO42" s="25">
        <f t="shared" si="47"/>
        <v>0</v>
      </c>
      <c r="AP42" s="232"/>
      <c r="AQ42" s="25">
        <f t="shared" si="48"/>
        <v>0</v>
      </c>
      <c r="AR42" s="25">
        <f t="shared" si="49"/>
        <v>0</v>
      </c>
      <c r="AS42" s="232"/>
      <c r="AT42" s="25">
        <f t="shared" si="50"/>
        <v>0</v>
      </c>
      <c r="AU42" s="25">
        <f t="shared" si="51"/>
        <v>0</v>
      </c>
      <c r="AV42" s="232"/>
      <c r="AW42" s="25">
        <f t="shared" si="52"/>
        <v>0</v>
      </c>
      <c r="AX42" s="25">
        <f t="shared" si="53"/>
        <v>0</v>
      </c>
      <c r="AY42" s="232"/>
      <c r="AZ42" s="25">
        <f t="shared" si="56"/>
        <v>0</v>
      </c>
      <c r="BA42" s="25">
        <f t="shared" si="57"/>
        <v>0</v>
      </c>
      <c r="BB42" s="232"/>
      <c r="BC42" s="25">
        <f t="shared" si="58"/>
        <v>0</v>
      </c>
      <c r="BD42" s="25">
        <f t="shared" si="59"/>
        <v>0</v>
      </c>
      <c r="BE42" s="232"/>
      <c r="BF42" s="25">
        <f t="shared" si="60"/>
        <v>0</v>
      </c>
      <c r="BG42" s="25">
        <f t="shared" si="61"/>
        <v>0</v>
      </c>
      <c r="BH42" s="232"/>
      <c r="BI42" s="25">
        <f t="shared" si="62"/>
        <v>0</v>
      </c>
      <c r="BJ42" s="25">
        <f t="shared" si="63"/>
        <v>0</v>
      </c>
    </row>
    <row r="43" spans="1:66" s="11" customFormat="1" ht="15.6" customHeight="1" x14ac:dyDescent="0.2">
      <c r="A43" s="5" t="s">
        <v>232</v>
      </c>
      <c r="B43" s="4"/>
      <c r="C43" s="166">
        <f>IF($C$12=2,0,IF($C$8="Project-supplement",0,S43/Takstblad!C54))</f>
        <v>0</v>
      </c>
      <c r="D43" s="166">
        <f>IF($C$12=2,0,IF($C$8="Project-supplement",0,T43/Takstblad!D54))</f>
        <v>0</v>
      </c>
      <c r="E43" s="166">
        <f>IF($C$12=2,0,IF($C$8="Project-supplement",0,U43/Takstblad!E54))</f>
        <v>0</v>
      </c>
      <c r="F43" s="166">
        <f>IF($C$12=2,0,IF($C$8="Project-supplement",0,V43/Takstblad!F54))</f>
        <v>0</v>
      </c>
      <c r="G43" s="166">
        <f>IF($C$12=2,0,IF($C$8="Project-supplement",0,W43/Takstblad!G54))</f>
        <v>0</v>
      </c>
      <c r="H43" s="166">
        <f>IF($C$12=2,0,IF($C$8="Project-supplement",0,X43/Takstblad!H54))</f>
        <v>0</v>
      </c>
      <c r="I43" s="166">
        <f>IF($C$12=2,0,IF($C$8="Project-supplement",0,Y43/Takstblad!I54))</f>
        <v>0</v>
      </c>
      <c r="J43" s="166">
        <f>IF($C$12=2,0,IF($C$8="Project-supplement",0,Z43/Takstblad!J54))</f>
        <v>0</v>
      </c>
      <c r="K43" s="166">
        <f>IF($C$12=2,0,IF($C$8="Project-supplement",0,AA43/Takstblad!K54))</f>
        <v>0</v>
      </c>
      <c r="L43" s="166">
        <f>IF($C$12=2,0,IF($C$8="Project-supplement",0,AB43/Takstblad!L54))</f>
        <v>0</v>
      </c>
      <c r="M43" s="65">
        <f t="shared" si="54"/>
        <v>0</v>
      </c>
      <c r="N43" s="20"/>
      <c r="O43" s="168" t="s">
        <v>152</v>
      </c>
      <c r="Q43" s="27"/>
      <c r="R43" s="21">
        <f>+AC43</f>
        <v>0</v>
      </c>
      <c r="S43" s="25">
        <f>IFERROR(IF($C$12=2,0,IF(OR($G$7="salary and operations",$G$7="Salary"),VLOOKUP($C$2,Takstblad!$B$55:$L$67,2,FALSE)*C$48,0)),0)</f>
        <v>0</v>
      </c>
      <c r="T43" s="25">
        <f>IFERROR(IF($C$12=2,0,IF(OR($G$7="salary and operations",$G$7="Salary"),VLOOKUP($C$2,Takstblad!$B$55:$L$67,2,FALSE)*D$48,0)),0)</f>
        <v>0</v>
      </c>
      <c r="U43" s="25">
        <f>IFERROR(IF($C$12=2,0,IF(OR($G$7="salary and operations",$G$7="Salary"),VLOOKUP($C$2,Takstblad!$B$55:$L$67,2,FALSE)*E$48,0)),0)</f>
        <v>0</v>
      </c>
      <c r="V43" s="25">
        <f>IFERROR(IF($C$12=2,0,IF(OR($G$7="salary and operations",$G$7="Salary"),VLOOKUP($C$2,Takstblad!$B$55:$L$67,2,FALSE)*F$48,0)),0)</f>
        <v>0</v>
      </c>
      <c r="W43" s="25">
        <f>IFERROR(IF($C$12=2,0,IF(OR($G$7="salary and operations",$G$7="Salary"),VLOOKUP($C$2,Takstblad!$B$55:$L$67,2,FALSE)*G$48,0)),0)</f>
        <v>0</v>
      </c>
      <c r="X43" s="25">
        <f>IFERROR(IF($C$12=2,0,IF(OR($G$7="salary and operations",$G$7="Salary"),VLOOKUP($C$2,Takstblad!$B$55:$L$67,2,FALSE)*H$48,0)),0)</f>
        <v>0</v>
      </c>
      <c r="Y43" s="25">
        <f>IFERROR(IF($C$12=2,0,IF(OR($G$7="salary and operations",$G$7="Salary"),VLOOKUP($C$2,Takstblad!$B$55:$L$67,2,FALSE)*I$48,0)),0)</f>
        <v>0</v>
      </c>
      <c r="Z43" s="25">
        <f>IFERROR(IF($C$12=2,0,IF(OR($G$7="salary and operations",$G$7="Salary"),VLOOKUP($C$2,Takstblad!$B$55:$L$67,2,FALSE)*J$48,0)),0)</f>
        <v>0</v>
      </c>
      <c r="AA43" s="25">
        <f>IFERROR(IF($C$12=2,0,IF(OR($G$7="salary and operations",$G$7="Salary"),VLOOKUP($C$2,Takstblad!$B$55:$L$67,2,FALSE)*K$48,0)),0)</f>
        <v>0</v>
      </c>
      <c r="AB43" s="25">
        <f>IFERROR(IF($C$12=2,0,IF(OR($G$7="salary and operations",$G$7="Salary"),VLOOKUP($C$2,Takstblad!$B$55:$L$67,2,FALSE)*L$48,0)),0)</f>
        <v>0</v>
      </c>
      <c r="AC43" s="21">
        <f t="shared" si="55"/>
        <v>0</v>
      </c>
      <c r="AD43" s="232"/>
      <c r="AE43" s="25">
        <f>+M43*($C$7/12)</f>
        <v>0</v>
      </c>
      <c r="AF43" s="25">
        <f t="shared" si="41"/>
        <v>0</v>
      </c>
      <c r="AG43" s="7"/>
      <c r="AH43" s="25">
        <f t="shared" si="42"/>
        <v>0</v>
      </c>
      <c r="AI43" s="25">
        <f t="shared" si="43"/>
        <v>0</v>
      </c>
      <c r="AJ43" s="7"/>
      <c r="AK43" s="25">
        <f t="shared" si="44"/>
        <v>0</v>
      </c>
      <c r="AL43" s="25">
        <f t="shared" si="45"/>
        <v>0</v>
      </c>
      <c r="AM43" s="232"/>
      <c r="AN43" s="25">
        <f t="shared" si="46"/>
        <v>0</v>
      </c>
      <c r="AO43" s="25">
        <f t="shared" si="47"/>
        <v>0</v>
      </c>
      <c r="AP43" s="232"/>
      <c r="AQ43" s="25">
        <f t="shared" si="48"/>
        <v>0</v>
      </c>
      <c r="AR43" s="25">
        <f t="shared" si="49"/>
        <v>0</v>
      </c>
      <c r="AS43" s="232"/>
      <c r="AT43" s="25">
        <f t="shared" si="50"/>
        <v>0</v>
      </c>
      <c r="AU43" s="25">
        <f t="shared" si="51"/>
        <v>0</v>
      </c>
      <c r="AV43" s="232"/>
      <c r="AW43" s="25">
        <f t="shared" si="52"/>
        <v>0</v>
      </c>
      <c r="AX43" s="25">
        <f t="shared" si="53"/>
        <v>0</v>
      </c>
      <c r="AY43" s="7"/>
      <c r="AZ43" s="25">
        <f t="shared" si="56"/>
        <v>0</v>
      </c>
      <c r="BA43" s="25">
        <f t="shared" si="57"/>
        <v>0</v>
      </c>
      <c r="BB43" s="7"/>
      <c r="BC43" s="25">
        <f t="shared" si="58"/>
        <v>0</v>
      </c>
      <c r="BD43" s="25">
        <f t="shared" si="59"/>
        <v>0</v>
      </c>
      <c r="BE43" s="7"/>
      <c r="BF43" s="25">
        <f t="shared" si="60"/>
        <v>0</v>
      </c>
      <c r="BG43" s="25">
        <f t="shared" si="61"/>
        <v>0</v>
      </c>
      <c r="BH43" s="7"/>
      <c r="BI43" s="25">
        <f t="shared" si="62"/>
        <v>0</v>
      </c>
      <c r="BJ43" s="25">
        <f t="shared" si="63"/>
        <v>0</v>
      </c>
      <c r="BK43" s="7"/>
      <c r="BL43" s="7"/>
      <c r="BM43" s="7"/>
      <c r="BN43" s="7"/>
    </row>
    <row r="44" spans="1:66" s="11" customFormat="1" ht="15.6" customHeight="1" x14ac:dyDescent="0.2">
      <c r="A44" s="5" t="s">
        <v>233</v>
      </c>
      <c r="B44" s="4"/>
      <c r="C44" s="166">
        <f>IF($C$12=2,0,IF($C$8="project-supplement",0,S44/Takstblad!C54))</f>
        <v>0</v>
      </c>
      <c r="D44" s="166">
        <f>IF($C$12=2,0,IF($C$8="project-supplement",0,T44/Takstblad!D54))</f>
        <v>0</v>
      </c>
      <c r="E44" s="166">
        <f>IF($C$12=2,0,IF($C$8="project-supplement",0,U44/Takstblad!E54))</f>
        <v>0</v>
      </c>
      <c r="F44" s="166">
        <f>IF($C$12=2,0,IF($C$8="project-supplement",0,V44/Takstblad!F54))</f>
        <v>0</v>
      </c>
      <c r="G44" s="166">
        <f>IF($C$12=2,0,IF($C$8="project-supplement",0,W44/Takstblad!G54))</f>
        <v>0</v>
      </c>
      <c r="H44" s="166">
        <f>IF($C$12=2,0,IF($C$8="project-supplement",0,X44/Takstblad!H54))</f>
        <v>0</v>
      </c>
      <c r="I44" s="166">
        <f>IF($C$12=2,0,IF($C$8="project-supplement",0,Y44/Takstblad!I54))</f>
        <v>0</v>
      </c>
      <c r="J44" s="166">
        <f>IF($C$12=2,0,IF($C$8="project-supplement",0,Z44/Takstblad!J54))</f>
        <v>0</v>
      </c>
      <c r="K44" s="166">
        <f>IF($C$12=2,0,IF($C$8="project-supplement",0,AA44/Takstblad!K54))</f>
        <v>0</v>
      </c>
      <c r="L44" s="166">
        <f>IF($C$12=2,0,IF($C$8="project-supplement",0,AB44/Takstblad!L54))</f>
        <v>0</v>
      </c>
      <c r="M44" s="65">
        <f t="shared" si="54"/>
        <v>0</v>
      </c>
      <c r="N44" s="94"/>
      <c r="O44" s="168" t="s">
        <v>112</v>
      </c>
      <c r="Q44" s="27"/>
      <c r="R44" s="21">
        <f t="shared" si="39"/>
        <v>0</v>
      </c>
      <c r="S44" s="25">
        <f>IFERROR(IF($C$12=2,0,IF(OR($G$7="salary and operations",$G$7="Salary"),VLOOKUP($C$2,Takstblad!$B$55:$L$67,2,FALSE)*C$49,0)),0)</f>
        <v>0</v>
      </c>
      <c r="T44" s="25">
        <f>IFERROR(IF($C$12=2,0,IF(OR($G$7="salary and operations",$G$7="Salary"),VLOOKUP($C$2,Takstblad!$B$55:$L$67,2,FALSE)*D$49,0)),0)</f>
        <v>0</v>
      </c>
      <c r="U44" s="25">
        <f>IFERROR(IF($C$12=2,0,IF(OR($G$7="salary and operations",$G$7="Salary"),VLOOKUP($C$2,Takstblad!$B$55:$L$67,2,FALSE)*E$49,0)),0)</f>
        <v>0</v>
      </c>
      <c r="V44" s="25">
        <f>IFERROR(IF($C$12=2,0,IF(OR($G$7="salary and operations",$G$7="Salary"),VLOOKUP($C$2,Takstblad!$B$55:$L$67,2,FALSE)*F$49,0)),0)</f>
        <v>0</v>
      </c>
      <c r="W44" s="25">
        <f>IFERROR(IF($C$12=2,0,IF(OR($G$7="salary and operations",$G$7="Salary"),VLOOKUP($C$2,Takstblad!$B$55:$L$67,2,FALSE)*G$49,0)),0)</f>
        <v>0</v>
      </c>
      <c r="X44" s="25">
        <f>IFERROR(IF($C$12=2,0,IF(OR($G$7="salary and operations",$G$7="Salary"),VLOOKUP($C$2,Takstblad!$B$55:$L$67,2,FALSE)*H$49,0)),0)</f>
        <v>0</v>
      </c>
      <c r="Y44" s="25">
        <f>IFERROR(IF($C$12=2,0,IF(OR($G$7="salary and operations",$G$7="Salary"),VLOOKUP($C$2,Takstblad!$B$55:$L$67,2,FALSE)*I$49,0)),0)</f>
        <v>0</v>
      </c>
      <c r="Z44" s="25">
        <f>IFERROR(IF($C$12=2,0,IF(OR($G$7="salary and operations",$G$7="Salary"),VLOOKUP($C$2,Takstblad!$B$55:$L$67,2,FALSE)*J$49,0)),0)</f>
        <v>0</v>
      </c>
      <c r="AA44" s="25">
        <f>IFERROR(IF($C$12=2,0,IF(OR($G$7="salary and operations",$G$7="Salary"),VLOOKUP($C$2,Takstblad!$B$55:$L$67,2,FALSE)*K$49,0)),0)</f>
        <v>0</v>
      </c>
      <c r="AB44" s="25">
        <f>IFERROR(IF($C$12=2,0,IF(OR($G$7="salary and operations",$G$7="Salary"),VLOOKUP($C$2,Takstblad!$B$55:$L$67,2,FALSE)*L$49,0)),0)</f>
        <v>0</v>
      </c>
      <c r="AC44" s="21">
        <f t="shared" si="55"/>
        <v>0</v>
      </c>
      <c r="AD44" s="7"/>
      <c r="AE44" s="25">
        <f t="shared" ref="AE44:AE45" si="64">+M44*($C$7/12)</f>
        <v>0</v>
      </c>
      <c r="AF44" s="25">
        <f t="shared" ref="AF44:AF45" si="65">IFERROR(AC44/AE44,0)</f>
        <v>0</v>
      </c>
      <c r="AG44" s="7"/>
      <c r="AH44" s="25">
        <f t="shared" ref="AH44:AH45" si="66">+C44*($C$7/12)</f>
        <v>0</v>
      </c>
      <c r="AI44" s="25">
        <f t="shared" ref="AI44:AI45" si="67">IFERROR(S44/AH44,0)</f>
        <v>0</v>
      </c>
      <c r="AJ44" s="7"/>
      <c r="AK44" s="25">
        <f t="shared" ref="AK44:AK45" si="68">+D44*($C$7/12)</f>
        <v>0</v>
      </c>
      <c r="AL44" s="25">
        <f t="shared" ref="AL44:AL45" si="69">IFERROR(T44/AK44,0)</f>
        <v>0</v>
      </c>
      <c r="AM44" s="7"/>
      <c r="AN44" s="25">
        <f t="shared" ref="AN44:AN45" si="70">+E44*($C$7/12)</f>
        <v>0</v>
      </c>
      <c r="AO44" s="25">
        <f t="shared" ref="AO44:AO45" si="71">IFERROR(U44/AN44,0)</f>
        <v>0</v>
      </c>
      <c r="AP44" s="232"/>
      <c r="AQ44" s="25">
        <f t="shared" ref="AQ44:AQ45" si="72">+F44*($C$7/12)</f>
        <v>0</v>
      </c>
      <c r="AR44" s="25">
        <f t="shared" ref="AR44:AR45" si="73">IFERROR(V44/AQ44,0)</f>
        <v>0</v>
      </c>
      <c r="AS44" s="7"/>
      <c r="AT44" s="25">
        <f t="shared" ref="AT44:AT45" si="74">+G44*($C$7/12)</f>
        <v>0</v>
      </c>
      <c r="AU44" s="25">
        <f t="shared" ref="AU44:AU45" si="75">IFERROR(W44/AT44,0)</f>
        <v>0</v>
      </c>
      <c r="AV44" s="7"/>
      <c r="AW44" s="25">
        <f t="shared" ref="AW44:AW45" si="76">+H44*($C$7/12)</f>
        <v>0</v>
      </c>
      <c r="AX44" s="25">
        <f t="shared" ref="AX44:AX45" si="77">IFERROR(X44/AW44,0)</f>
        <v>0</v>
      </c>
      <c r="AY44" s="7"/>
      <c r="AZ44" s="25">
        <f t="shared" ref="AZ44:AZ45" si="78">+I44*($C$7/12)</f>
        <v>0</v>
      </c>
      <c r="BA44" s="25">
        <f t="shared" ref="BA44:BA45" si="79">IFERROR(Y44/AZ44,0)</f>
        <v>0</v>
      </c>
      <c r="BB44" s="7"/>
      <c r="BC44" s="25">
        <f t="shared" ref="BC44:BC45" si="80">+J44*($C$7/12)</f>
        <v>0</v>
      </c>
      <c r="BD44" s="25">
        <f t="shared" ref="BD44:BD45" si="81">IFERROR(Z44/BC44,0)</f>
        <v>0</v>
      </c>
      <c r="BE44" s="7"/>
      <c r="BF44" s="25">
        <f t="shared" si="60"/>
        <v>0</v>
      </c>
      <c r="BG44" s="25">
        <f t="shared" si="61"/>
        <v>0</v>
      </c>
      <c r="BH44" s="7"/>
      <c r="BI44" s="25">
        <f t="shared" si="62"/>
        <v>0</v>
      </c>
      <c r="BJ44" s="25">
        <f t="shared" si="63"/>
        <v>0</v>
      </c>
      <c r="BK44" s="7"/>
      <c r="BL44" s="7"/>
      <c r="BM44" s="7"/>
      <c r="BN44" s="7"/>
    </row>
    <row r="45" spans="1:66" ht="15.6" customHeight="1" thickBot="1" x14ac:dyDescent="0.25">
      <c r="A45" s="5" t="s">
        <v>772</v>
      </c>
      <c r="B45" s="4"/>
      <c r="C4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$33:$O$42,Lister!$D$29,C$33:C$42)-SUMIFS(C$33:C$42,$O$33:$O$42,Lister!$D$29,$A$33:$A$42,Takstblad!$A$34)-SUMIFS(C$33:C$42,$O$33:$O$42,Lister!$D$29,$A$33:$A$42,Takstblad!$A$36)-SUMIFS(C$33:C$42,$O$33:$O$42,Lister!$D$29,$A$33:$A$42,Takstblad!$A$41)-SUMIFS(C$33:C$42,$O$33:$O$42,Lister!$D$29,$A$33:$A$42,Takstblad!$A$42)+SUMIF($O$33:$O$42,Lister!$D$30,C$33:C$42)-SUMIFS(C$33:C$42,$O$33:$O$42,Lister!$D$30,$A$33:$A$42,Takstblad!$A$34)-SUMIFS(C$33:C$42,$O$33:$O$42,Lister!$D$30,$A$33:$A$42,Takstblad!$A$36)-SUMIFS(C$33:C$42,$O$33:$O$42,Lister!$D$30,$A$33:$A$42,Takstblad!$A$41)-SUMIFS(C$33:C$42,$O$33:$O$42,Lister!$D$30,$A$33:$A$42,Takstblad!$A$42))*0.3),0)</f>
        <v>0</v>
      </c>
      <c r="D45" s="169">
        <f>IF($C$2="FOOD",((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$33:$O$42,Lister!$D$29,D$33:D$42)-SUMIFS(D$33:D$42,$O$33:$O$42,Lister!$D$29,$A$33:$A$42,Takstblad!$A$34)-SUMIFS(D$33:D$42,$O$33:$O$42,Lister!$D$29,$A$33:$A$42,Takstblad!$A$36)-SUMIFS(D$33:D$42,$O$33:$O$42,Lister!$D$29,$A$33:$A$42,Takstblad!$A$41)-SUMIFS(D$33:D$42,$O$33:$O$42,Lister!$D$29,$A$33:$A$42,Takstblad!$A$42)+SUMIF($O$33:$O$42,Lister!$D$30,D$33:D$42)-SUMIFS(D$33:D$42,$O$33:$O$42,Lister!$D$30,$A$33:$A$42,Takstblad!$A$34)-SUMIFS(D$33:D$42,$O$33:$O$42,Lister!$D$30,$A$33:$A$42,Takstblad!$A$36)-SUMIFS(D$33:D$42,$O$33:$O$42,Lister!$D$30,$A$33:$A$42,Takstblad!$A$41)-SUMIFS(D$33:D$42,$O$33:$O$42,Lister!$D$30,$A$33:$A$42,Takstblad!$A$42))*0.3),0)</f>
        <v>0</v>
      </c>
      <c r="E45" s="169">
        <f>IF($C$2="FOOD",((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$33:$O$42,Lister!$D$29,E$33:E$42)-SUMIFS(E$33:E$42,$O$33:$O$42,Lister!$D$29,$A$33:$A$42,Takstblad!$A$34)-SUMIFS(E$33:E$42,$O$33:$O$42,Lister!$D$29,$A$33:$A$42,Takstblad!$A$36)-SUMIFS(E$33:E$42,$O$33:$O$42,Lister!$D$29,$A$33:$A$42,Takstblad!$A$41)-SUMIFS(E$33:E$42,$O$33:$O$42,Lister!$D$29,$A$33:$A$42,Takstblad!$A$42)+SUMIF($O$33:$O$42,Lister!$D$30,E$33:E$42)-SUMIFS(E$33:E$42,$O$33:$O$42,Lister!$D$30,$A$33:$A$42,Takstblad!$A$34)-SUMIFS(E$33:E$42,$O$33:$O$42,Lister!$D$30,$A$33:$A$42,Takstblad!$A$36)-SUMIFS(E$33:E$42,$O$33:$O$42,Lister!$D$30,$A$33:$A$42,Takstblad!$A$41)-SUMIFS(E$33:E$42,$O$33:$O$42,Lister!$D$30,$A$33:$A$42,Takstblad!$A$42))*0.3),0)</f>
        <v>0</v>
      </c>
      <c r="F45" s="169">
        <f>IF($C$2="FOOD",((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$33:$O$42,Lister!$D$29,F$33:F$42)-SUMIFS(F$33:F$42,$O$33:$O$42,Lister!$D$29,$A$33:$A$42,Takstblad!$A$34)-SUMIFS(F$33:F$42,$O$33:$O$42,Lister!$D$29,$A$33:$A$42,Takstblad!$A$36)-SUMIFS(F$33:F$42,$O$33:$O$42,Lister!$D$29,$A$33:$A$42,Takstblad!$A$41)-SUMIFS(F$33:F$42,$O$33:$O$42,Lister!$D$29,$A$33:$A$42,Takstblad!$A$42)+SUMIF($O$33:$O$42,Lister!$D$30,F$33:F$42)-SUMIFS(F$33:F$42,$O$33:$O$42,Lister!$D$30,$A$33:$A$42,Takstblad!$A$34)-SUMIFS(F$33:F$42,$O$33:$O$42,Lister!$D$30,$A$33:$A$42,Takstblad!$A$36)-SUMIFS(F$33:F$42,$O$33:$O$42,Lister!$D$30,$A$33:$A$42,Takstblad!$A$41)-SUMIFS(F$33:F$42,$O$33:$O$42,Lister!$D$30,$A$33:$A$42,Takstblad!$A$42))*0.3),0)</f>
        <v>0</v>
      </c>
      <c r="G45" s="169">
        <f>IF($C$2="FOOD",((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$33:$O$42,Lister!$D$29,G$33:G$42)-SUMIFS(G$33:G$42,$O$33:$O$42,Lister!$D$29,$A$33:$A$42,Takstblad!$A$34)-SUMIFS(G$33:G$42,$O$33:$O$42,Lister!$D$29,$A$33:$A$42,Takstblad!$A$36)-SUMIFS(G$33:G$42,$O$33:$O$42,Lister!$D$29,$A$33:$A$42,Takstblad!$A$41)-SUMIFS(G$33:G$42,$O$33:$O$42,Lister!$D$29,$A$33:$A$42,Takstblad!$A$42)+SUMIF($O$33:$O$42,Lister!$D$30,G$33:G$42)-SUMIFS(G$33:G$42,$O$33:$O$42,Lister!$D$30,$A$33:$A$42,Takstblad!$A$34)-SUMIFS(G$33:G$42,$O$33:$O$42,Lister!$D$30,$A$33:$A$42,Takstblad!$A$36)-SUMIFS(G$33:G$42,$O$33:$O$42,Lister!$D$30,$A$33:$A$42,Takstblad!$A$41)-SUMIFS(G$33:G$42,$O$33:$O$42,Lister!$D$30,$A$33:$A$42,Takstblad!$A$42))*0.3),0)</f>
        <v>0</v>
      </c>
      <c r="H45" s="169">
        <f>IF($C$2="FOOD",((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$33:$O$42,Lister!$D$29,H$33:H$42)-SUMIFS(H$33:H$42,$O$33:$O$42,Lister!$D$29,$A$33:$A$42,Takstblad!$A$34)-SUMIFS(H$33:H$42,$O$33:$O$42,Lister!$D$29,$A$33:$A$42,Takstblad!$A$36)-SUMIFS(H$33:H$42,$O$33:$O$42,Lister!$D$29,$A$33:$A$42,Takstblad!$A$41)-SUMIFS(H$33:H$42,$O$33:$O$42,Lister!$D$29,$A$33:$A$42,Takstblad!$A$42)+SUMIF($O$33:$O$42,Lister!$D$30,H$33:H$42)-SUMIFS(H$33:H$42,$O$33:$O$42,Lister!$D$30,$A$33:$A$42,Takstblad!$A$34)-SUMIFS(H$33:H$42,$O$33:$O$42,Lister!$D$30,$A$33:$A$42,Takstblad!$A$36)-SUMIFS(H$33:H$42,$O$33:$O$42,Lister!$D$30,$A$33:$A$42,Takstblad!$A$41)-SUMIFS(H$33:H$42,$O$33:$O$42,Lister!$D$30,$A$33:$A$42,Takstblad!$A$42))*0.3),0)</f>
        <v>0</v>
      </c>
      <c r="I45" s="170">
        <f>IF($C$2="FOOD",((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$33:$O$42,Lister!$D$29,I$33:I$42)-SUMIFS(I$33:I$42,$O$33:$O$42,Lister!$D$29,$A$33:$A$42,Takstblad!$A$34)-SUMIFS(I$33:I$42,$O$33:$O$42,Lister!$D$29,$A$33:$A$42,Takstblad!$A$36)-SUMIFS(I$33:I$42,$O$33:$O$42,Lister!$D$29,$A$33:$A$42,Takstblad!$A$41)-SUMIFS(I$33:I$42,$O$33:$O$42,Lister!$D$29,$A$33:$A$42,Takstblad!$A$42)+SUMIF($O$33:$O$42,Lister!$D$30,I$33:I$42)-SUMIFS(I$33:I$42,$O$33:$O$42,Lister!$D$30,$A$33:$A$42,Takstblad!$A$34)-SUMIFS(I$33:I$42,$O$33:$O$42,Lister!$D$30,$A$33:$A$42,Takstblad!$A$36)-SUMIFS(I$33:I$42,$O$33:$O$42,Lister!$D$30,$A$33:$A$42,Takstblad!$A$41)-SUMIFS(I$33:I$42,$O$33:$O$42,Lister!$D$30,$A$33:$A$42,Takstblad!$A$42))*0.3),0)</f>
        <v>0</v>
      </c>
      <c r="J45" s="170">
        <f>IF($C$2="FOOD",((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$33:$O$42,Lister!$D$29,J$33:J$42)-SUMIFS(J$33:J$42,$O$33:$O$42,Lister!$D$29,$A$33:$A$42,Takstblad!$A$34)-SUMIFS(J$33:J$42,$O$33:$O$42,Lister!$D$29,$A$33:$A$42,Takstblad!$A$36)-SUMIFS(J$33:J$42,$O$33:$O$42,Lister!$D$29,$A$33:$A$42,Takstblad!$A$41)-SUMIFS(J$33:J$42,$O$33:$O$42,Lister!$D$29,$A$33:$A$42,Takstblad!$A$42)+SUMIF($O$33:$O$42,Lister!$D$30,J$33:J$42)-SUMIFS(J$33:J$42,$O$33:$O$42,Lister!$D$30,$A$33:$A$42,Takstblad!$A$34)-SUMIFS(J$33:J$42,$O$33:$O$42,Lister!$D$30,$A$33:$A$42,Takstblad!$A$36)-SUMIFS(J$33:J$42,$O$33:$O$42,Lister!$D$30,$A$33:$A$42,Takstblad!$A$41)-SUMIFS(J$33:J$42,$O$33:$O$42,Lister!$D$30,$A$33:$A$42,Takstblad!$A$42))*0.3),0)</f>
        <v>0</v>
      </c>
      <c r="K45" s="170">
        <f>IF($C$2="FOOD",((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$33:$O$42,Lister!$D$29,K$33:K$42)-SUMIFS(K$33:K$42,$O$33:$O$42,Lister!$D$29,$A$33:$A$42,Takstblad!$A$34)-SUMIFS(K$33:K$42,$O$33:$O$42,Lister!$D$29,$A$33:$A$42,Takstblad!$A$36)-SUMIFS(K$33:K$42,$O$33:$O$42,Lister!$D$29,$A$33:$A$42,Takstblad!$A$41)-SUMIFS(K$33:K$42,$O$33:$O$42,Lister!$D$29,$A$33:$A$42,Takstblad!$A$42)+SUMIF($O$33:$O$42,Lister!$D$30,K$33:K$42)-SUMIFS(K$33:K$42,$O$33:$O$42,Lister!$D$30,$A$33:$A$42,Takstblad!$A$34)-SUMIFS(K$33:K$42,$O$33:$O$42,Lister!$D$30,$A$33:$A$42,Takstblad!$A$36)-SUMIFS(K$33:K$42,$O$33:$O$42,Lister!$D$30,$A$33:$A$42,Takstblad!$A$41)-SUMIFS(K$33:K$42,$O$33:$O$42,Lister!$D$30,$A$33:$A$42,Takstblad!$A$42))*0.3),0)</f>
        <v>0</v>
      </c>
      <c r="L45" s="170">
        <f>IF($C$2="FOOD",((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$33:$O$42,Lister!$D$29,L$33:L$42)-SUMIFS(L$33:L$42,$O$33:$O$42,Lister!$D$29,$A$33:$A$42,Takstblad!$A$34)-SUMIFS(L$33:L$42,$O$33:$O$42,Lister!$D$29,$A$33:$A$42,Takstblad!$A$36)-SUMIFS(L$33:L$42,$O$33:$O$42,Lister!$D$29,$A$33:$A$42,Takstblad!$A$41)-SUMIFS(L$33:L$42,$O$33:$O$42,Lister!$D$29,$A$33:$A$42,Takstblad!$A$42)+SUMIF($O$33:$O$42,Lister!$D$30,L$33:L$42)-SUMIFS(L$33:L$42,$O$33:$O$42,Lister!$D$30,$A$33:$A$42,Takstblad!$A$34)-SUMIFS(L$33:L$42,$O$33:$O$42,Lister!$D$30,$A$33:$A$42,Takstblad!$A$36)-SUMIFS(L$33:L$42,$O$33:$O$42,Lister!$D$30,$A$33:$A$42,Takstblad!$A$41)-SUMIFS(L$33:L$42,$O$33:$O$42,Lister!$D$30,$A$33:$A$42,Takstblad!$A$42))*0.3),0)</f>
        <v>0</v>
      </c>
      <c r="M45" s="65">
        <f t="shared" si="54"/>
        <v>0</v>
      </c>
      <c r="N45" s="171"/>
      <c r="O45" s="168" t="s">
        <v>152</v>
      </c>
      <c r="P45" s="11"/>
      <c r="Q45" s="27"/>
      <c r="R45" s="213">
        <f t="shared" si="39"/>
        <v>0</v>
      </c>
      <c r="S45" s="25">
        <f>+C45*Takstblad!C38</f>
        <v>0</v>
      </c>
      <c r="T45" s="25">
        <f>+D45*Takstblad!D38</f>
        <v>0</v>
      </c>
      <c r="U45" s="25">
        <f>+E45*Takstblad!E38</f>
        <v>0</v>
      </c>
      <c r="V45" s="25">
        <f>+F45*Takstblad!F38</f>
        <v>0</v>
      </c>
      <c r="W45" s="25">
        <f>+G45*Takstblad!G38</f>
        <v>0</v>
      </c>
      <c r="X45" s="25">
        <f>+H45*Takstblad!H38</f>
        <v>0</v>
      </c>
      <c r="Y45" s="25">
        <f>+I45*Takstblad!I38</f>
        <v>0</v>
      </c>
      <c r="Z45" s="25">
        <f>+J45*Takstblad!J38</f>
        <v>0</v>
      </c>
      <c r="AA45" s="25">
        <f>+K45*Takstblad!K38</f>
        <v>0</v>
      </c>
      <c r="AB45" s="25">
        <f>+L45*Takstblad!L38</f>
        <v>0</v>
      </c>
      <c r="AC45" s="25">
        <f t="shared" si="55"/>
        <v>0</v>
      </c>
      <c r="AE45" s="25">
        <f t="shared" si="64"/>
        <v>0</v>
      </c>
      <c r="AF45" s="25">
        <f t="shared" si="65"/>
        <v>0</v>
      </c>
      <c r="AH45" s="25">
        <f t="shared" si="66"/>
        <v>0</v>
      </c>
      <c r="AI45" s="25">
        <f t="shared" si="67"/>
        <v>0</v>
      </c>
      <c r="AK45" s="25">
        <f t="shared" si="68"/>
        <v>0</v>
      </c>
      <c r="AL45" s="25">
        <f t="shared" si="69"/>
        <v>0</v>
      </c>
      <c r="AN45" s="25">
        <f t="shared" si="70"/>
        <v>0</v>
      </c>
      <c r="AO45" s="25">
        <f t="shared" si="71"/>
        <v>0</v>
      </c>
      <c r="AQ45" s="25">
        <f t="shared" si="72"/>
        <v>0</v>
      </c>
      <c r="AR45" s="25">
        <f t="shared" si="73"/>
        <v>0</v>
      </c>
      <c r="AT45" s="25">
        <f t="shared" si="74"/>
        <v>0</v>
      </c>
      <c r="AU45" s="25">
        <f t="shared" si="75"/>
        <v>0</v>
      </c>
      <c r="AW45" s="25">
        <f t="shared" si="76"/>
        <v>0</v>
      </c>
      <c r="AX45" s="25">
        <f t="shared" si="77"/>
        <v>0</v>
      </c>
      <c r="AZ45" s="25">
        <f t="shared" si="78"/>
        <v>0</v>
      </c>
      <c r="BA45" s="25">
        <f t="shared" si="79"/>
        <v>0</v>
      </c>
      <c r="BC45" s="25">
        <f t="shared" si="80"/>
        <v>0</v>
      </c>
      <c r="BD45" s="25">
        <f t="shared" si="81"/>
        <v>0</v>
      </c>
      <c r="BF45" s="25">
        <f t="shared" si="60"/>
        <v>0</v>
      </c>
      <c r="BG45" s="25">
        <f t="shared" si="61"/>
        <v>0</v>
      </c>
      <c r="BI45" s="25">
        <f t="shared" si="62"/>
        <v>0</v>
      </c>
      <c r="BJ45" s="25">
        <f t="shared" si="63"/>
        <v>0</v>
      </c>
    </row>
    <row r="46" spans="1:66" ht="15.6" customHeight="1" thickBot="1" x14ac:dyDescent="0.25">
      <c r="A46" s="4" t="s">
        <v>71</v>
      </c>
      <c r="B46" s="4"/>
      <c r="C46" s="12">
        <f t="shared" ref="C46:J46" si="82">SUM(C33:C45)</f>
        <v>0</v>
      </c>
      <c r="D46" s="12">
        <f t="shared" si="82"/>
        <v>0</v>
      </c>
      <c r="E46" s="12">
        <f t="shared" si="82"/>
        <v>0</v>
      </c>
      <c r="F46" s="12">
        <f t="shared" si="82"/>
        <v>0</v>
      </c>
      <c r="G46" s="12">
        <f t="shared" si="82"/>
        <v>0</v>
      </c>
      <c r="H46" s="12">
        <f t="shared" si="82"/>
        <v>0</v>
      </c>
      <c r="I46" s="12">
        <f t="shared" si="82"/>
        <v>0</v>
      </c>
      <c r="J46" s="12">
        <f t="shared" si="82"/>
        <v>0</v>
      </c>
      <c r="K46" s="12">
        <f t="shared" ref="K46" si="83">SUM(K33:K45)</f>
        <v>0</v>
      </c>
      <c r="L46" s="12">
        <f>SUM(L33:L45)</f>
        <v>0</v>
      </c>
      <c r="M46" s="12">
        <f t="shared" si="54"/>
        <v>0</v>
      </c>
      <c r="N46" s="12"/>
      <c r="O46" s="48"/>
      <c r="P46" s="48"/>
      <c r="Q46" s="23" t="s">
        <v>75</v>
      </c>
      <c r="R46" s="46">
        <f t="shared" si="39"/>
        <v>0</v>
      </c>
      <c r="S46" s="22">
        <f t="shared" ref="S46:Z46" si="84">SUM(S33:S45)</f>
        <v>0</v>
      </c>
      <c r="T46" s="22">
        <f t="shared" si="84"/>
        <v>0</v>
      </c>
      <c r="U46" s="22">
        <f t="shared" si="84"/>
        <v>0</v>
      </c>
      <c r="V46" s="22">
        <f t="shared" si="84"/>
        <v>0</v>
      </c>
      <c r="W46" s="22">
        <f t="shared" si="84"/>
        <v>0</v>
      </c>
      <c r="X46" s="22">
        <f t="shared" si="84"/>
        <v>0</v>
      </c>
      <c r="Y46" s="51">
        <f t="shared" si="84"/>
        <v>0</v>
      </c>
      <c r="Z46" s="51">
        <f t="shared" si="84"/>
        <v>0</v>
      </c>
      <c r="AA46" s="51">
        <f t="shared" ref="AA46:AB46" si="85">SUM(AA33:AA45)</f>
        <v>0</v>
      </c>
      <c r="AB46" s="51">
        <f t="shared" si="85"/>
        <v>0</v>
      </c>
      <c r="AC46" s="46">
        <f t="shared" si="55"/>
        <v>0</v>
      </c>
      <c r="AE46" s="22">
        <f>SUM(AE33:AE45)</f>
        <v>0</v>
      </c>
      <c r="AF46" s="13">
        <f>IFERROR(AC46/AE46,0)</f>
        <v>0</v>
      </c>
      <c r="AH46" s="22">
        <f>SUM(AH33:AH45)</f>
        <v>0</v>
      </c>
      <c r="AI46" s="13">
        <f t="shared" si="43"/>
        <v>0</v>
      </c>
      <c r="AK46" s="22">
        <f>SUM(AK33:AK45)</f>
        <v>0</v>
      </c>
      <c r="AL46" s="13">
        <f t="shared" si="45"/>
        <v>0</v>
      </c>
      <c r="AN46" s="22">
        <f>SUM(AN33:AN45)</f>
        <v>0</v>
      </c>
      <c r="AO46" s="13">
        <f t="shared" si="47"/>
        <v>0</v>
      </c>
      <c r="AQ46" s="22">
        <f>SUM(AQ33:AQ45)</f>
        <v>0</v>
      </c>
      <c r="AR46" s="13">
        <f t="shared" si="49"/>
        <v>0</v>
      </c>
      <c r="AT46" s="22">
        <f>SUM(AT33:AT45)</f>
        <v>0</v>
      </c>
      <c r="AU46" s="13">
        <f t="shared" si="51"/>
        <v>0</v>
      </c>
      <c r="AW46" s="22">
        <f>SUM(AW33:AW45)</f>
        <v>0</v>
      </c>
      <c r="AX46" s="13">
        <f t="shared" si="53"/>
        <v>0</v>
      </c>
      <c r="AZ46" s="22">
        <f>SUM(AZ33:AZ45)</f>
        <v>0</v>
      </c>
      <c r="BA46" s="13">
        <f t="shared" si="57"/>
        <v>0</v>
      </c>
      <c r="BC46" s="22">
        <f>SUM(BC33:BC45)</f>
        <v>0</v>
      </c>
      <c r="BD46" s="13">
        <f t="shared" si="59"/>
        <v>0</v>
      </c>
      <c r="BF46" s="22">
        <f>SUM(BF33:BF45)</f>
        <v>0</v>
      </c>
      <c r="BG46" s="13">
        <f t="shared" ref="BG46" si="86">IFERROR(AC46/BF46,0)</f>
        <v>0</v>
      </c>
      <c r="BI46" s="22">
        <f>SUM(BI33:BI45)</f>
        <v>0</v>
      </c>
      <c r="BJ46" s="13">
        <f t="shared" ref="BJ46" si="87">IFERROR(AF46/BI46,0)</f>
        <v>0</v>
      </c>
      <c r="BK46" s="70"/>
      <c r="BL46" s="70"/>
      <c r="BM46" s="70"/>
    </row>
    <row r="47" spans="1:66" ht="15.6" customHeight="1" x14ac:dyDescent="0.2">
      <c r="A47" s="9"/>
      <c r="B47" s="48"/>
      <c r="C47" s="48"/>
      <c r="D47" s="48"/>
      <c r="E47" s="48"/>
      <c r="F47" s="48"/>
      <c r="G47" s="48"/>
      <c r="H47" s="48"/>
      <c r="I47" s="48"/>
      <c r="J47" s="48"/>
      <c r="K47" s="48"/>
      <c r="L47" s="48"/>
      <c r="M47" s="48"/>
      <c r="N47" s="48"/>
      <c r="O47" s="48"/>
      <c r="P47" s="48"/>
      <c r="Q47" s="23"/>
      <c r="R47" s="5"/>
      <c r="S47" s="4"/>
      <c r="T47" s="4"/>
      <c r="U47" s="4"/>
      <c r="V47" s="4"/>
      <c r="W47" s="4"/>
      <c r="X47" s="4"/>
      <c r="Y47" s="4"/>
      <c r="Z47" s="4"/>
      <c r="AA47" s="4"/>
      <c r="AB47" s="4"/>
      <c r="AC47" s="5"/>
      <c r="AD47" s="70"/>
      <c r="AE47" s="76"/>
      <c r="AF47" s="76"/>
      <c r="AG47" s="70"/>
      <c r="AH47" s="77"/>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row>
    <row r="48" spans="1:66" ht="15.6" hidden="1" customHeight="1" x14ac:dyDescent="0.2">
      <c r="A48" s="9" t="s">
        <v>185</v>
      </c>
      <c r="B48" s="48"/>
      <c r="C48" s="109">
        <f>+SUMIF($O$20:$O$29,Lister!$D$30,C20:C29)-SUMIFS(C20:C29,$O$20:$O$29,Lister!$D$30,$B$20:$B$29,Lister!$B$20)-+SUMIFS(C33:C42,$O$33:$O$42,Lister!$D$30,$B$33:$B$42,Lister!$A$24)+SUMIF($O$20:$O$29,Lister!$D$29,C20:C29)-SUMIFS(C20:C29,$O$20:$O$29,Lister!$D$29,$B$20:$B$29,Lister!$B$20)+SUMIFS(C33:C42,$O$33:$O$42,Lister!$D$29,$B$33:$B$42,Lister!$A$24)</f>
        <v>0</v>
      </c>
      <c r="D48" s="109">
        <f>+SUMIF($O$20:$O$29,Lister!$D$30,D20:D29)-SUMIFS(D20:D29,$O$20:$O$29,Lister!$D$30,$B$20:$B$29,Lister!$B$20)-+SUMIFS(D33:D42,$O$33:$O$42,Lister!$D$30,$B$33:$B$42,Lister!$A$24)+SUMIF($O$20:$O$29,Lister!$D$29,D20:D29)-SUMIFS(D20:D29,$O$20:$O$29,Lister!$D$29,$B$20:$B$29,Lister!$B$20)+SUMIFS(D33:D42,$O$33:$O$42,Lister!$D$29,$B$33:$B$42,Lister!$A$24)</f>
        <v>0</v>
      </c>
      <c r="E48" s="109">
        <f>+SUMIF($O$20:$O$29,Lister!$D$30,E20:E29)-SUMIFS(E20:E29,$O$20:$O$29,Lister!$D$30,$B$20:$B$29,Lister!$B$20)-+SUMIFS(E33:E42,$O$33:$O$42,Lister!$D$30,$B$33:$B$42,Lister!$A$24)+SUMIF($O$20:$O$29,Lister!$D$29,E20:E29)-SUMIFS(E20:E29,$O$20:$O$29,Lister!$D$29,$B$20:$B$29,Lister!$B$20)+SUMIFS(E33:E42,$O$33:$O$42,Lister!$D$29,$B$33:$B$42,Lister!$A$24)</f>
        <v>0</v>
      </c>
      <c r="F48" s="109">
        <f>+SUMIF($O$20:$O$29,Lister!$D$30,F20:F29)-SUMIFS(F20:F29,$O$20:$O$29,Lister!$D$30,$B$20:$B$29,Lister!$B$20)-+SUMIFS(F33:F42,$O$33:$O$42,Lister!$D$30,$B$33:$B$42,Lister!$A$24)+SUMIF($O$20:$O$29,Lister!$D$29,F20:F29)-SUMIFS(F20:F29,$O$20:$O$29,Lister!$D$29,$B$20:$B$29,Lister!$B$20)+SUMIFS(F33:F42,$O$33:$O$42,Lister!$D$29,$B$33:$B$42,Lister!$A$24)</f>
        <v>0</v>
      </c>
      <c r="G48" s="109">
        <f>+SUMIF($O$20:$O$29,Lister!$D$30,G20:G29)-SUMIFS(G20:G29,$O$20:$O$29,Lister!$D$30,$B$20:$B$29,Lister!$B$20)-+SUMIFS(G33:G42,$O$33:$O$42,Lister!$D$30,$B$33:$B$42,Lister!$A$24)+SUMIF($O$20:$O$29,Lister!$D$29,G20:G29)-SUMIFS(G20:G29,$O$20:$O$29,Lister!$D$29,$B$20:$B$29,Lister!$B$20)+SUMIFS(G33:G42,$O$33:$O$42,Lister!$D$29,$B$33:$B$42,Lister!$A$24)</f>
        <v>0</v>
      </c>
      <c r="H48" s="109">
        <f>+SUMIF($O$20:$O$29,Lister!$D$30,H20:H29)-SUMIFS(H20:H29,$O$20:$O$29,Lister!$D$30,$B$20:$B$29,Lister!$B$20)-+SUMIFS(H33:H42,$O$33:$O$42,Lister!$D$30,$B$33:$B$42,Lister!$A$24)+SUMIF($O$20:$O$29,Lister!$D$29,H20:H29)-SUMIFS(H20:H29,$O$20:$O$29,Lister!$D$29,$B$20:$B$29,Lister!$B$20)+SUMIFS(H33:H42,$O$33:$O$42,Lister!$D$29,$B$33:$B$42,Lister!$A$24)</f>
        <v>0</v>
      </c>
      <c r="I48" s="109">
        <f>+SUMIF($O$20:$O$29,Lister!$D$30,I20:I29)-SUMIFS(I20:I29,$O$20:$O$29,Lister!$D$30,$B$20:$B$29,Lister!$B$20)-+SUMIFS(I33:I42,$O$33:$O$42,Lister!$D$30,$B$33:$B$42,Lister!$A$24)+SUMIF($O$20:$O$29,Lister!$D$29,I20:I29)-SUMIFS(I20:I29,$O$20:$O$29,Lister!$D$29,$B$20:$B$29,Lister!$B$20)+SUMIFS(I33:I42,$O$33:$O$42,Lister!$D$29,$B$33:$B$42,Lister!$A$24)</f>
        <v>0</v>
      </c>
      <c r="J48" s="109">
        <f>+SUMIF($O$20:$O$29,Lister!$D$30,J20:J29)-SUMIFS(J20:J29,$O$20:$O$29,Lister!$D$30,$B$20:$B$29,Lister!$B$20)-+SUMIFS(J33:J42,$O$33:$O$42,Lister!$D$30,$B$33:$B$42,Lister!$A$24)+SUMIF($O$20:$O$29,Lister!$D$29,J20:J29)-SUMIFS(J20:J29,$O$20:$O$29,Lister!$D$29,$B$20:$B$29,Lister!$B$20)+SUMIFS(J33:J42,$O$33:$O$42,Lister!$D$29,$B$33:$B$42,Lister!$A$24)</f>
        <v>0</v>
      </c>
      <c r="K48" s="109">
        <f>+SUMIF($O$20:$O$29,Lister!$D$30,K20:K29)-SUMIFS(K20:K29,$O$20:$O$29,Lister!$D$30,$B$20:$B$29,Lister!$B$20)-+SUMIFS(K33:K42,$O$33:$O$42,Lister!$D$30,$B$33:$B$42,Lister!$A$24)+SUMIF($O$20:$O$29,Lister!$D$29,K20:K29)-SUMIFS(K20:K29,$O$20:$O$29,Lister!$D$29,$B$20:$B$29,Lister!$B$20)+SUMIFS(K33:K42,$O$33:$O$42,Lister!$D$29,$B$33:$B$42,Lister!$A$24)</f>
        <v>0</v>
      </c>
      <c r="L48" s="109">
        <f>+SUMIF($O$20:$O$29,Lister!$D$30,L20:L29)-SUMIFS(L20:L29,$O$20:$O$29,Lister!$D$30,$B$20:$B$29,Lister!$B$20)-+SUMIFS(L33:L42,$O$33:$O$42,Lister!$D$30,$B$33:$B$42,Lister!$A$24)+SUMIF($O$20:$O$29,Lister!$D$29,L20:L29)-SUMIFS(L20:L29,$O$20:$O$29,Lister!$D$29,$B$20:$B$29,Lister!$B$20)+SUMIFS(L33:L42,$O$33:$O$42,Lister!$D$29,$B$33:$B$42,Lister!$A$24)</f>
        <v>0</v>
      </c>
      <c r="M48" s="48"/>
      <c r="N48" s="48"/>
      <c r="O48" s="48"/>
      <c r="P48" s="48"/>
      <c r="Q48" s="23"/>
      <c r="R48" s="5"/>
      <c r="S48" s="4"/>
      <c r="T48" s="4"/>
      <c r="U48" s="4"/>
      <c r="V48" s="4"/>
      <c r="W48" s="4"/>
      <c r="X48" s="4"/>
      <c r="Y48" s="4"/>
      <c r="Z48" s="4"/>
      <c r="AA48" s="4"/>
      <c r="AB48" s="4"/>
      <c r="AC48" s="5"/>
      <c r="AD48" s="70"/>
      <c r="AE48" s="76"/>
      <c r="AF48" s="76"/>
      <c r="AG48" s="70"/>
      <c r="AH48" s="77"/>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row>
    <row r="49" spans="1:65" ht="15.6" hidden="1" customHeight="1" x14ac:dyDescent="0.2">
      <c r="A49" s="9" t="s">
        <v>186</v>
      </c>
      <c r="B49" s="48"/>
      <c r="C49" s="109">
        <f>+SUMIF($O$20:$O$29,Lister!$D$31,C20:C29)-SUMIFS(C20:C29,$O$20:$O$29,Lister!$D$31,$B$20:$B$29,Lister!$B$20)+SUMIFS(C33:C42,$O$33:$O$42,Lister!$D$31,$B$33:$B$42,Lister!$A$24)</f>
        <v>0</v>
      </c>
      <c r="D49" s="109">
        <f>+SUMIF($O$20:$O$29,Lister!$D$31,D20:D29)-SUMIFS(D20:D29,$O$20:$O$29,Lister!$D$31,$B$20:$B$29,Lister!$B$20)+SUMIFS(D33:D42,$O$33:$O$42,Lister!$D$31,$B$33:$B$42,Lister!$A$24)</f>
        <v>0</v>
      </c>
      <c r="E49" s="109">
        <f>+SUMIF($O$20:$O$29,Lister!$D$31,E20:E29)-SUMIFS(E20:E29,$O$20:$O$29,Lister!$D$31,$B$20:$B$29,Lister!$B$20)+SUMIFS(E33:E42,$O$33:$O$42,Lister!$D$31,$B$33:$B$42,Lister!$A$24)</f>
        <v>0</v>
      </c>
      <c r="F49" s="109">
        <f>+SUMIF($O$20:$O$29,Lister!$D$31,F20:F29)-SUMIFS(F20:F29,$O$20:$O$29,Lister!$D$31,$B$20:$B$29,Lister!$B$20)+SUMIFS(F33:F42,$O$33:$O$42,Lister!$D$31,$B$33:$B$42,Lister!$A$24)</f>
        <v>0</v>
      </c>
      <c r="G49" s="109">
        <f>+SUMIF($O$20:$O$29,Lister!$D$31,G20:G29)-SUMIFS(G20:G29,$O$20:$O$29,Lister!$D$31,$B$20:$B$29,Lister!$B$20)+SUMIFS(G33:G42,$O$33:$O$42,Lister!$D$31,$B$33:$B$42,Lister!$A$24)</f>
        <v>0</v>
      </c>
      <c r="H49" s="109">
        <f>+SUMIF($O$20:$O$29,Lister!$D$31,H20:H29)-SUMIFS(H20:H29,$O$20:$O$29,Lister!$D$31,$B$20:$B$29,Lister!$B$20)+SUMIFS(H33:H42,$O$33:$O$42,Lister!$D$31,$B$33:$B$42,Lister!$A$24)</f>
        <v>0</v>
      </c>
      <c r="I49" s="109">
        <f>+SUMIF($O$20:$O$29,Lister!$D$31,I20:I29)-SUMIFS(I20:I29,$O$20:$O$29,Lister!$D$31,$B$20:$B$29,Lister!$B$20)+SUMIFS(I33:I42,$O$33:$O$42,Lister!$D$31,$B$33:$B$42,Lister!$A$24)</f>
        <v>0</v>
      </c>
      <c r="J49" s="109">
        <f>+SUMIF($O$20:$O$29,Lister!$D$31,J20:J29)-SUMIFS(J20:J29,$O$20:$O$29,Lister!$D$31,$B$20:$B$29,Lister!$B$20)+SUMIFS(J33:J42,$O$33:$O$42,Lister!$D$31,$B$33:$B$42,Lister!$A$24)</f>
        <v>0</v>
      </c>
      <c r="K49" s="109">
        <f>+SUMIF($O$20:$O$29,Lister!$D$31,K20:K29)-SUMIFS(K20:K29,$O$20:$O$29,Lister!$D$31,$B$20:$B$29,Lister!$B$20)+SUMIFS(K33:K42,$O$33:$O$42,Lister!$D$31,$B$33:$B$42,Lister!$A$24)</f>
        <v>0</v>
      </c>
      <c r="L49" s="109">
        <f>+SUMIF($O$20:$O$29,Lister!$D$31,L20:L29)-SUMIFS(L20:L29,$O$20:$O$29,Lister!$D$31,$B$20:$B$29,Lister!$B$20)+SUMIFS(L33:L42,$O$33:$O$42,Lister!$D$31,$B$33:$B$42,Lister!$A$24)</f>
        <v>0</v>
      </c>
      <c r="M49" s="48"/>
      <c r="N49" s="48"/>
      <c r="O49" s="48"/>
      <c r="P49" s="48"/>
      <c r="Q49" s="23"/>
      <c r="R49" s="5"/>
      <c r="S49" s="4"/>
      <c r="T49" s="4"/>
      <c r="U49" s="4"/>
      <c r="V49" s="4"/>
      <c r="W49" s="4"/>
      <c r="X49" s="4"/>
      <c r="Y49" s="4"/>
      <c r="Z49" s="4"/>
      <c r="AA49" s="4"/>
      <c r="AB49" s="4"/>
      <c r="AC49" s="5"/>
      <c r="AD49" s="70"/>
      <c r="AE49" s="76"/>
      <c r="AF49" s="76"/>
      <c r="AG49" s="70"/>
      <c r="AH49" s="77"/>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row>
    <row r="50" spans="1:65" ht="15" customHeight="1" x14ac:dyDescent="0.2">
      <c r="A50" s="9"/>
      <c r="B50" s="48"/>
      <c r="C50" s="48"/>
      <c r="D50" s="48"/>
      <c r="E50" s="48"/>
      <c r="F50" s="48"/>
      <c r="G50" s="48"/>
      <c r="H50" s="48"/>
      <c r="I50" s="48"/>
      <c r="J50" s="48"/>
      <c r="K50" s="48"/>
      <c r="L50" s="48"/>
      <c r="M50" s="48"/>
      <c r="N50" s="48"/>
      <c r="O50" s="48"/>
      <c r="P50" s="48"/>
      <c r="Q50" s="70"/>
      <c r="R50" s="70"/>
      <c r="S50" s="77"/>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65" ht="15" customHeight="1" thickBot="1" x14ac:dyDescent="0.25">
      <c r="A51" s="4" t="s">
        <v>91</v>
      </c>
      <c r="B51" s="8"/>
      <c r="C51" s="8">
        <f t="shared" ref="C51:L51" si="88">+C19</f>
        <v>2025</v>
      </c>
      <c r="D51" s="8">
        <f t="shared" si="88"/>
        <v>2026</v>
      </c>
      <c r="E51" s="8">
        <f t="shared" si="88"/>
        <v>2027</v>
      </c>
      <c r="F51" s="8">
        <f t="shared" si="88"/>
        <v>2028</v>
      </c>
      <c r="G51" s="8">
        <f t="shared" si="88"/>
        <v>2029</v>
      </c>
      <c r="H51" s="8">
        <f t="shared" si="88"/>
        <v>2030</v>
      </c>
      <c r="I51" s="8">
        <f t="shared" si="88"/>
        <v>2031</v>
      </c>
      <c r="J51" s="8">
        <f t="shared" si="88"/>
        <v>2032</v>
      </c>
      <c r="K51" s="8">
        <f t="shared" si="88"/>
        <v>2033</v>
      </c>
      <c r="L51" s="8">
        <f t="shared" si="88"/>
        <v>2034</v>
      </c>
      <c r="M51" s="8" t="s">
        <v>34</v>
      </c>
      <c r="N51" s="8"/>
      <c r="O51" s="8"/>
      <c r="P51" s="8"/>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65" s="9" customFormat="1" ht="15" customHeight="1" x14ac:dyDescent="0.25">
      <c r="A52" s="230" t="s">
        <v>114</v>
      </c>
      <c r="B52" s="231"/>
      <c r="C52" s="302"/>
      <c r="D52" s="302"/>
      <c r="E52" s="302"/>
      <c r="F52" s="302"/>
      <c r="G52" s="302"/>
      <c r="H52" s="302"/>
      <c r="I52" s="302"/>
      <c r="J52" s="302"/>
      <c r="K52" s="302"/>
      <c r="L52" s="302"/>
      <c r="M52" s="21">
        <f>SUM(C52:L52)</f>
        <v>0</v>
      </c>
      <c r="N52" s="299"/>
      <c r="O52" s="299" t="s">
        <v>113</v>
      </c>
      <c r="P52" s="7"/>
      <c r="Q52" s="129" t="s">
        <v>101</v>
      </c>
      <c r="R52" s="132"/>
      <c r="S52" s="130"/>
      <c r="T52" s="144"/>
      <c r="U52" s="144"/>
      <c r="V52" s="144"/>
      <c r="W52" s="144"/>
      <c r="X52" s="319"/>
      <c r="Y52" s="144"/>
      <c r="Z52" s="144"/>
      <c r="AA52" s="144"/>
      <c r="AB52" s="144"/>
      <c r="AC52" s="132"/>
      <c r="AF52" s="70"/>
      <c r="AG52" s="70"/>
      <c r="AH52" s="70"/>
      <c r="AI52" s="70"/>
      <c r="AJ52" s="70"/>
      <c r="AK52" s="70"/>
      <c r="AL52" s="70"/>
      <c r="AM52" s="70"/>
      <c r="AN52" s="70"/>
      <c r="AO52" s="70"/>
      <c r="AP52" s="70"/>
      <c r="AQ52" s="70"/>
      <c r="AR52" s="71"/>
      <c r="AS52" s="71"/>
      <c r="AT52" s="71"/>
      <c r="AU52" s="71"/>
      <c r="AV52" s="71"/>
      <c r="AW52" s="71"/>
      <c r="AX52" s="71"/>
      <c r="AY52" s="71"/>
      <c r="AZ52" s="71"/>
    </row>
    <row r="53" spans="1:65" ht="15" customHeight="1" x14ac:dyDescent="0.2">
      <c r="A53" s="210" t="s">
        <v>114</v>
      </c>
      <c r="B53" s="16"/>
      <c r="C53" s="302"/>
      <c r="D53" s="302"/>
      <c r="E53" s="302"/>
      <c r="F53" s="302"/>
      <c r="G53" s="302"/>
      <c r="H53" s="302"/>
      <c r="I53" s="302"/>
      <c r="J53" s="302"/>
      <c r="K53" s="302"/>
      <c r="L53" s="302"/>
      <c r="M53" s="21">
        <f t="shared" ref="M53:M65" si="89">SUM(C53:L53)</f>
        <v>0</v>
      </c>
      <c r="N53" s="299"/>
      <c r="O53" s="299" t="s">
        <v>113</v>
      </c>
      <c r="Q53" s="116" t="s">
        <v>22</v>
      </c>
      <c r="R53" s="133" t="s">
        <v>34</v>
      </c>
      <c r="S53" s="45">
        <f>+S19</f>
        <v>2025</v>
      </c>
      <c r="T53" s="45">
        <f>+S53+1</f>
        <v>2026</v>
      </c>
      <c r="U53" s="8">
        <f t="shared" ref="U53:Z53" si="90">+T53+1</f>
        <v>2027</v>
      </c>
      <c r="V53" s="8">
        <f t="shared" si="90"/>
        <v>2028</v>
      </c>
      <c r="W53" s="8">
        <f t="shared" si="90"/>
        <v>2029</v>
      </c>
      <c r="X53" s="133">
        <f t="shared" si="90"/>
        <v>2030</v>
      </c>
      <c r="Y53" s="8">
        <f t="shared" si="90"/>
        <v>2031</v>
      </c>
      <c r="Z53" s="8">
        <f t="shared" si="90"/>
        <v>2032</v>
      </c>
      <c r="AA53" s="8">
        <f t="shared" ref="AA53" si="91">+Z53+1</f>
        <v>2033</v>
      </c>
      <c r="AB53" s="8">
        <f t="shared" ref="AB53" si="92">+AA53+1</f>
        <v>2034</v>
      </c>
      <c r="AC53" s="133" t="s">
        <v>34</v>
      </c>
      <c r="AF53" s="71"/>
      <c r="AG53" s="71"/>
      <c r="AH53" s="71"/>
      <c r="AI53" s="71"/>
      <c r="AJ53" s="71"/>
      <c r="AK53" s="71"/>
      <c r="AL53" s="71"/>
      <c r="AM53" s="71"/>
      <c r="AN53" s="71"/>
      <c r="AO53" s="71"/>
      <c r="AP53" s="71"/>
      <c r="AQ53" s="71"/>
      <c r="AR53" s="70"/>
      <c r="AS53" s="70"/>
      <c r="AT53" s="70"/>
      <c r="AU53" s="70"/>
      <c r="AV53" s="70"/>
      <c r="AW53" s="70"/>
      <c r="AX53" s="70"/>
      <c r="AY53" s="70"/>
      <c r="AZ53" s="70"/>
    </row>
    <row r="54" spans="1:65" ht="15" customHeight="1" x14ac:dyDescent="0.2">
      <c r="A54" s="230" t="s">
        <v>114</v>
      </c>
      <c r="B54" s="231"/>
      <c r="C54" s="302"/>
      <c r="D54" s="302"/>
      <c r="E54" s="302"/>
      <c r="F54" s="302"/>
      <c r="G54" s="302"/>
      <c r="H54" s="302"/>
      <c r="I54" s="302"/>
      <c r="J54" s="302"/>
      <c r="K54" s="302"/>
      <c r="L54" s="302"/>
      <c r="M54" s="21">
        <f t="shared" si="89"/>
        <v>0</v>
      </c>
      <c r="N54" s="299"/>
      <c r="O54" s="299" t="s">
        <v>113</v>
      </c>
      <c r="P54" s="128"/>
      <c r="Q54" s="156" t="s">
        <v>74</v>
      </c>
      <c r="R54" s="333">
        <f t="shared" ref="R54:R63" si="93">+AC54</f>
        <v>0</v>
      </c>
      <c r="S54" s="331">
        <f t="shared" ref="S54:Z54" si="94">+S30</f>
        <v>0</v>
      </c>
      <c r="T54" s="331">
        <f t="shared" si="94"/>
        <v>0</v>
      </c>
      <c r="U54" s="331">
        <f t="shared" si="94"/>
        <v>0</v>
      </c>
      <c r="V54" s="331">
        <f t="shared" si="94"/>
        <v>0</v>
      </c>
      <c r="W54" s="331">
        <f t="shared" si="94"/>
        <v>0</v>
      </c>
      <c r="X54" s="332">
        <f t="shared" si="94"/>
        <v>0</v>
      </c>
      <c r="Y54" s="309">
        <f t="shared" si="94"/>
        <v>0</v>
      </c>
      <c r="Z54" s="28">
        <f t="shared" si="94"/>
        <v>0</v>
      </c>
      <c r="AA54" s="28">
        <f t="shared" ref="AA54:AB54" si="95">+AA30</f>
        <v>0</v>
      </c>
      <c r="AB54" s="28">
        <f t="shared" si="95"/>
        <v>0</v>
      </c>
      <c r="AC54" s="134">
        <f>SUM(S54:AB54)</f>
        <v>0</v>
      </c>
      <c r="AF54" s="70"/>
      <c r="AG54" s="70"/>
      <c r="AH54" s="70"/>
      <c r="AI54" s="70"/>
      <c r="AJ54" s="70"/>
      <c r="AK54" s="70"/>
      <c r="AL54" s="70"/>
      <c r="AM54" s="70"/>
      <c r="AN54" s="70"/>
      <c r="AO54" s="70"/>
      <c r="AP54" s="70"/>
      <c r="AQ54" s="70"/>
      <c r="AR54" s="70"/>
      <c r="AS54" s="70"/>
      <c r="AT54" s="70"/>
      <c r="AU54" s="70"/>
      <c r="AV54" s="70"/>
      <c r="AW54" s="70"/>
      <c r="AX54" s="70"/>
      <c r="AY54" s="70"/>
      <c r="AZ54" s="70"/>
    </row>
    <row r="55" spans="1:65" ht="15" customHeight="1" x14ac:dyDescent="0.2">
      <c r="A55" s="210" t="s">
        <v>114</v>
      </c>
      <c r="B55" s="16"/>
      <c r="C55" s="302"/>
      <c r="D55" s="302"/>
      <c r="E55" s="302"/>
      <c r="F55" s="302"/>
      <c r="G55" s="302"/>
      <c r="H55" s="302"/>
      <c r="I55" s="302"/>
      <c r="J55" s="302"/>
      <c r="K55" s="302"/>
      <c r="L55" s="302"/>
      <c r="M55" s="21">
        <f t="shared" si="89"/>
        <v>0</v>
      </c>
      <c r="N55" s="299"/>
      <c r="O55" s="299" t="s">
        <v>113</v>
      </c>
      <c r="P55" s="128"/>
      <c r="Q55" s="157" t="s">
        <v>75</v>
      </c>
      <c r="R55" s="324">
        <f>+AC55</f>
        <v>0</v>
      </c>
      <c r="S55" s="325">
        <f t="shared" ref="S55:Z55" si="96">+S46</f>
        <v>0</v>
      </c>
      <c r="T55" s="325">
        <f t="shared" si="96"/>
        <v>0</v>
      </c>
      <c r="U55" s="325">
        <f t="shared" si="96"/>
        <v>0</v>
      </c>
      <c r="V55" s="325">
        <f t="shared" si="96"/>
        <v>0</v>
      </c>
      <c r="W55" s="325">
        <f t="shared" si="96"/>
        <v>0</v>
      </c>
      <c r="X55" s="326">
        <f t="shared" si="96"/>
        <v>0</v>
      </c>
      <c r="Y55" s="310">
        <f t="shared" si="96"/>
        <v>0</v>
      </c>
      <c r="Z55" s="122">
        <f t="shared" si="96"/>
        <v>0</v>
      </c>
      <c r="AA55" s="122">
        <f t="shared" ref="AA55:AB55" si="97">+AA46</f>
        <v>0</v>
      </c>
      <c r="AB55" s="122">
        <f t="shared" si="97"/>
        <v>0</v>
      </c>
      <c r="AC55" s="150">
        <f t="shared" ref="AC55:AC63" si="98">SUM(S55:AB55)</f>
        <v>0</v>
      </c>
      <c r="AF55" s="70"/>
      <c r="AG55" s="70"/>
      <c r="AH55" s="70"/>
      <c r="AI55" s="70"/>
      <c r="AJ55" s="70"/>
      <c r="AK55" s="70"/>
      <c r="AL55" s="70"/>
      <c r="AM55" s="70"/>
      <c r="AN55" s="70"/>
      <c r="AO55" s="70"/>
      <c r="AP55" s="70"/>
      <c r="AQ55" s="70"/>
      <c r="AR55" s="70"/>
      <c r="AS55" s="70"/>
      <c r="AT55" s="70"/>
      <c r="AU55" s="70"/>
      <c r="AV55" s="70"/>
      <c r="AW55" s="70"/>
      <c r="AX55" s="70"/>
      <c r="AY55" s="70"/>
      <c r="AZ55" s="70"/>
    </row>
    <row r="56" spans="1:65" ht="15" customHeight="1" x14ac:dyDescent="0.2">
      <c r="A56" s="230" t="s">
        <v>114</v>
      </c>
      <c r="B56" s="231"/>
      <c r="C56" s="302"/>
      <c r="D56" s="302"/>
      <c r="E56" s="302"/>
      <c r="F56" s="302"/>
      <c r="G56" s="302"/>
      <c r="H56" s="302"/>
      <c r="I56" s="302"/>
      <c r="J56" s="302"/>
      <c r="K56" s="302"/>
      <c r="L56" s="302"/>
      <c r="M56" s="21">
        <f t="shared" si="89"/>
        <v>0</v>
      </c>
      <c r="N56" s="299"/>
      <c r="O56" s="299" t="s">
        <v>113</v>
      </c>
      <c r="P56" s="128"/>
      <c r="Q56" s="158" t="s">
        <v>76</v>
      </c>
      <c r="R56" s="327">
        <f t="shared" si="93"/>
        <v>0</v>
      </c>
      <c r="S56" s="328">
        <f>+SUM(S54:S55)</f>
        <v>0</v>
      </c>
      <c r="T56" s="328">
        <f t="shared" ref="T56:Z56" si="99">+SUM(T54:T55)</f>
        <v>0</v>
      </c>
      <c r="U56" s="328">
        <f t="shared" si="99"/>
        <v>0</v>
      </c>
      <c r="V56" s="328">
        <f t="shared" si="99"/>
        <v>0</v>
      </c>
      <c r="W56" s="328">
        <f t="shared" si="99"/>
        <v>0</v>
      </c>
      <c r="X56" s="329">
        <f t="shared" si="99"/>
        <v>0</v>
      </c>
      <c r="Y56" s="311">
        <f t="shared" si="99"/>
        <v>0</v>
      </c>
      <c r="Z56" s="146">
        <f t="shared" si="99"/>
        <v>0</v>
      </c>
      <c r="AA56" s="146">
        <f t="shared" ref="AA56:AB56" si="100">+SUM(AA54:AA55)</f>
        <v>0</v>
      </c>
      <c r="AB56" s="146">
        <f t="shared" si="100"/>
        <v>0</v>
      </c>
      <c r="AC56" s="147">
        <f t="shared" si="98"/>
        <v>0</v>
      </c>
      <c r="AF56" s="70"/>
      <c r="AG56" s="70"/>
      <c r="AH56" s="70"/>
      <c r="AI56" s="70"/>
      <c r="AJ56" s="70"/>
      <c r="AK56" s="70"/>
      <c r="AL56" s="70"/>
      <c r="AM56" s="70"/>
      <c r="AN56" s="70"/>
      <c r="AO56" s="70"/>
      <c r="AP56" s="70"/>
      <c r="AQ56" s="70"/>
      <c r="AR56" s="70"/>
      <c r="AS56" s="70"/>
      <c r="AT56" s="70"/>
      <c r="AU56" s="70"/>
      <c r="AV56" s="70"/>
      <c r="AW56" s="70"/>
      <c r="AX56" s="70"/>
      <c r="AY56" s="70"/>
      <c r="AZ56" s="70"/>
    </row>
    <row r="57" spans="1:65" ht="15" customHeight="1" x14ac:dyDescent="0.2">
      <c r="A57" s="210" t="s">
        <v>114</v>
      </c>
      <c r="B57" s="16"/>
      <c r="C57" s="302"/>
      <c r="D57" s="302"/>
      <c r="E57" s="302"/>
      <c r="F57" s="302"/>
      <c r="G57" s="302"/>
      <c r="H57" s="302"/>
      <c r="I57" s="302"/>
      <c r="J57" s="302"/>
      <c r="K57" s="302"/>
      <c r="L57" s="302"/>
      <c r="M57" s="21">
        <f t="shared" si="89"/>
        <v>0</v>
      </c>
      <c r="N57" s="299"/>
      <c r="O57" s="299" t="s">
        <v>113</v>
      </c>
      <c r="P57" s="128"/>
      <c r="Q57" s="158" t="s">
        <v>77</v>
      </c>
      <c r="R57" s="327">
        <f t="shared" si="93"/>
        <v>0</v>
      </c>
      <c r="S57" s="328">
        <f>+C65</f>
        <v>0</v>
      </c>
      <c r="T57" s="328">
        <f t="shared" ref="T57:AB57" si="101">+D65</f>
        <v>0</v>
      </c>
      <c r="U57" s="328">
        <f t="shared" si="101"/>
        <v>0</v>
      </c>
      <c r="V57" s="328">
        <f t="shared" si="101"/>
        <v>0</v>
      </c>
      <c r="W57" s="328">
        <f t="shared" si="101"/>
        <v>0</v>
      </c>
      <c r="X57" s="329">
        <f t="shared" si="101"/>
        <v>0</v>
      </c>
      <c r="Y57" s="311">
        <f t="shared" si="101"/>
        <v>0</v>
      </c>
      <c r="Z57" s="146">
        <f t="shared" si="101"/>
        <v>0</v>
      </c>
      <c r="AA57" s="146">
        <f t="shared" si="101"/>
        <v>0</v>
      </c>
      <c r="AB57" s="146">
        <f t="shared" si="101"/>
        <v>0</v>
      </c>
      <c r="AC57" s="147">
        <f t="shared" si="98"/>
        <v>0</v>
      </c>
      <c r="AF57" s="70"/>
      <c r="AG57" s="70"/>
      <c r="AH57" s="70"/>
      <c r="AI57" s="70"/>
      <c r="AJ57" s="70"/>
      <c r="AK57" s="70"/>
      <c r="AL57" s="70"/>
      <c r="AM57" s="70"/>
      <c r="AN57" s="70"/>
      <c r="AO57" s="70"/>
      <c r="AP57" s="70"/>
      <c r="AQ57" s="70"/>
      <c r="AR57" s="70"/>
      <c r="AS57" s="70"/>
      <c r="AT57" s="70"/>
      <c r="AU57" s="70"/>
      <c r="AV57" s="70"/>
      <c r="AW57" s="70"/>
      <c r="AX57" s="70"/>
      <c r="AY57" s="70"/>
      <c r="AZ57" s="70"/>
    </row>
    <row r="58" spans="1:65" ht="15" customHeight="1" x14ac:dyDescent="0.2">
      <c r="A58" s="230" t="s">
        <v>114</v>
      </c>
      <c r="B58" s="231"/>
      <c r="C58" s="302"/>
      <c r="D58" s="302"/>
      <c r="E58" s="302"/>
      <c r="F58" s="302"/>
      <c r="G58" s="302"/>
      <c r="H58" s="302"/>
      <c r="I58" s="302"/>
      <c r="J58" s="302"/>
      <c r="K58" s="302"/>
      <c r="L58" s="302"/>
      <c r="M58" s="21">
        <f t="shared" si="89"/>
        <v>0</v>
      </c>
      <c r="N58" s="299"/>
      <c r="O58" s="299" t="s">
        <v>113</v>
      </c>
      <c r="P58" s="128"/>
      <c r="Q58" s="158" t="s">
        <v>78</v>
      </c>
      <c r="R58" s="327">
        <f t="shared" si="93"/>
        <v>0</v>
      </c>
      <c r="S58" s="328">
        <f>+S57+S56</f>
        <v>0</v>
      </c>
      <c r="T58" s="328">
        <f t="shared" ref="T58:Z58" si="102">+T57+T56</f>
        <v>0</v>
      </c>
      <c r="U58" s="328">
        <f t="shared" si="102"/>
        <v>0</v>
      </c>
      <c r="V58" s="328">
        <f t="shared" si="102"/>
        <v>0</v>
      </c>
      <c r="W58" s="328">
        <f t="shared" si="102"/>
        <v>0</v>
      </c>
      <c r="X58" s="329">
        <f t="shared" si="102"/>
        <v>0</v>
      </c>
      <c r="Y58" s="311">
        <f t="shared" si="102"/>
        <v>0</v>
      </c>
      <c r="Z58" s="146">
        <f t="shared" si="102"/>
        <v>0</v>
      </c>
      <c r="AA58" s="146">
        <f t="shared" ref="AA58:AB58" si="103">+AA57+AA56</f>
        <v>0</v>
      </c>
      <c r="AB58" s="146">
        <f t="shared" si="103"/>
        <v>0</v>
      </c>
      <c r="AC58" s="147">
        <f t="shared" si="98"/>
        <v>0</v>
      </c>
      <c r="AF58" s="70"/>
      <c r="AG58" s="70"/>
      <c r="AH58" s="70"/>
      <c r="AI58" s="70"/>
      <c r="AJ58" s="70"/>
      <c r="AK58" s="70"/>
      <c r="AL58" s="70"/>
      <c r="AM58" s="70"/>
      <c r="AN58" s="70"/>
      <c r="AO58" s="70"/>
      <c r="AP58" s="70"/>
      <c r="AQ58" s="70"/>
      <c r="AR58" s="70"/>
      <c r="AS58" s="70"/>
      <c r="AT58" s="70"/>
      <c r="AU58" s="70"/>
      <c r="AV58" s="70"/>
      <c r="AW58" s="70"/>
      <c r="AX58" s="70"/>
      <c r="AY58" s="70"/>
      <c r="AZ58" s="70"/>
    </row>
    <row r="59" spans="1:65" ht="15" customHeight="1" x14ac:dyDescent="0.2">
      <c r="A59" s="210" t="s">
        <v>114</v>
      </c>
      <c r="B59" s="16"/>
      <c r="C59" s="302"/>
      <c r="D59" s="302"/>
      <c r="E59" s="302"/>
      <c r="F59" s="302"/>
      <c r="G59" s="302"/>
      <c r="H59" s="302"/>
      <c r="I59" s="302"/>
      <c r="J59" s="302"/>
      <c r="K59" s="302"/>
      <c r="L59" s="302"/>
      <c r="M59" s="21">
        <f t="shared" si="89"/>
        <v>0</v>
      </c>
      <c r="N59" s="299"/>
      <c r="O59" s="299" t="s">
        <v>113</v>
      </c>
      <c r="P59" s="128"/>
      <c r="Q59" s="159" t="s">
        <v>0</v>
      </c>
      <c r="R59" s="327">
        <f t="shared" si="93"/>
        <v>0</v>
      </c>
      <c r="S59" s="162">
        <f>IF(C12=2,S56*C6/100,IF($G$6=Lister!$D$4,(S56*$C$6)/100,IF($G$6=Lister!$D$5,(S58*$C$6)/100,IF($G$6=Lister!$D$6,((S58-SUMIF($A$52:$A$62,Lister!$M$10,C52:C62))*$C$6)/100,IF($G$6=Lister!$D$7,(S57*$C$6)/100,0)))))</f>
        <v>0</v>
      </c>
      <c r="T59" s="162">
        <f>IF(D12=2,T56*D6/100,IF($G$6=Lister!$D$4,(T56*$C$6)/100,IF($G$6=Lister!$D$5,(T58*$C$6)/100,IF($G$6=Lister!$D$6,((T58-SUMIF($A$52:$A$62,Lister!$M$10,D52:D62))*$C$6)/100,IF($G$6=Lister!$D$7,(T57*$C$6)/100,0)))))</f>
        <v>0</v>
      </c>
      <c r="U59" s="162">
        <f>IF(E12=2,U56*E6/100,IF($G$6=Lister!$D$4,(U56*$C$6)/100,IF($G$6=Lister!$D$5,(U58*$C$6)/100,IF($G$6=Lister!$D$6,((U58-SUMIF($A$52:$A$62,Lister!$M$10,E52:E62))*$C$6)/100,IF($G$6=Lister!$D$7,(U57*$C$6)/100,0)))))</f>
        <v>0</v>
      </c>
      <c r="V59" s="162">
        <f>IF(F12=2,V56*F6/100,IF($G$6=Lister!$D$4,(V56*$C$6)/100,IF($G$6=Lister!$D$5,(V58*$C$6)/100,IF($G$6=Lister!$D$6,((V58-SUMIF($A$52:$A$62,Lister!$M$10,F52:F62))*$C$6)/100,IF($G$6=Lister!$D$7,(V57*$C$6)/100,0)))))</f>
        <v>0</v>
      </c>
      <c r="W59" s="162">
        <f>IF(G12=2,W56*G6/100,IF($G$6=Lister!$D$4,(W56*$C$6)/100,IF($G$6=Lister!$D$5,(W58*$C$6)/100,IF($G$6=Lister!$D$6,((W58-SUMIF($A$52:$A$62,Lister!$M$10,G52:G62))*$C$6)/100,IF($G$6=Lister!$D$7,(W57*$C$6)/100,0)))))</f>
        <v>0</v>
      </c>
      <c r="X59" s="315">
        <f>IF(H12=2,X56*H6/100,IF($G$6=Lister!$D$4,(X56*$C$6)/100,IF($G$6=Lister!$D$5,(X58*$C$6)/100,IF($G$6=Lister!$D$6,((X58-SUMIF($A$52:$A$62,Lister!$M$10,H52:H62))*$C$6)/100,IF($G$6=Lister!$D$7,(X57*$C$6)/100,0)))))</f>
        <v>0</v>
      </c>
      <c r="Y59" s="312">
        <f>IF(I12=2,Y56*I6/100,IF($G$6=Lister!$D$4,(Y56*$C$6)/100,IF($G$6=Lister!$D$5,(Y58*$C$6)/100,IF($G$6=Lister!$D$6,((Y58-SUMIF($A$52:$A$62,Lister!$M$10,I52:I62))*$C$6)/100,IF($G$6=Lister!$D$7,(Y57*$C$6)/100,0)))))</f>
        <v>0</v>
      </c>
      <c r="Z59" s="21">
        <f>IF(J12=2,Z56*J6/100,IF($G$6=Lister!$D$4,(Z56*$C$6)/100,IF($G$6=Lister!$D$5,(Z58*$C$6)/100,IF($G$6=Lister!$D$6,((Z58-SUMIF($A$52:$A$62,Lister!$M$10,J52:J62))*$C$6)/100,IF($G$6=Lister!$D$7,(Z57*$C$6)/100,0)))))</f>
        <v>0</v>
      </c>
      <c r="AA59" s="21">
        <f>IF(K12=2,AA56*K6/100,IF($G$6=Lister!$D$4,(AA56*$C$6)/100,IF($G$6=Lister!$D$5,(AA58*$C$6)/100,IF($G$6=Lister!$D$6,((AA58-SUMIF($A$52:$A$62,Lister!$M$10,K52:K62))*$C$6)/100,IF($G$6=Lister!$D$7,(AA57*$C$6)/100,0)))))</f>
        <v>0</v>
      </c>
      <c r="AB59" s="21">
        <f>IF(L12=2,AB56*L6/100,IF($G$6=Lister!$D$4,(AB56*$C$6)/100,IF($G$6=Lister!$D$5,(AB58*$C$6)/100,IF($G$6=Lister!$D$6,((AB58-SUMIF($A$52:$A$62,Lister!$M$10,L52:L62))*$C$6)/100,IF($G$6=Lister!$D$7,(AB57*$C$6)/100,0)))))</f>
        <v>0</v>
      </c>
      <c r="AC59" s="147">
        <f t="shared" si="98"/>
        <v>0</v>
      </c>
      <c r="AF59" s="70"/>
      <c r="AG59" s="70"/>
      <c r="AH59" s="70"/>
      <c r="AI59" s="70"/>
      <c r="AJ59" s="70"/>
      <c r="AK59" s="70"/>
      <c r="AL59" s="70"/>
      <c r="AM59" s="70"/>
      <c r="AN59" s="70"/>
      <c r="AO59" s="70"/>
      <c r="AP59" s="70"/>
      <c r="AQ59" s="70"/>
      <c r="AR59" s="70"/>
      <c r="AS59" s="70"/>
      <c r="AT59" s="70"/>
      <c r="AU59" s="70"/>
      <c r="AV59" s="70"/>
      <c r="AW59" s="70"/>
      <c r="AX59" s="70"/>
      <c r="AY59" s="70"/>
      <c r="AZ59" s="70"/>
    </row>
    <row r="60" spans="1:65" ht="15" customHeight="1" x14ac:dyDescent="0.2">
      <c r="A60" s="230" t="s">
        <v>114</v>
      </c>
      <c r="B60" s="231"/>
      <c r="C60" s="302"/>
      <c r="D60" s="302"/>
      <c r="E60" s="302"/>
      <c r="F60" s="302"/>
      <c r="G60" s="302"/>
      <c r="H60" s="302"/>
      <c r="I60" s="302"/>
      <c r="J60" s="302"/>
      <c r="K60" s="302"/>
      <c r="L60" s="302"/>
      <c r="M60" s="21">
        <f t="shared" si="89"/>
        <v>0</v>
      </c>
      <c r="N60" s="299"/>
      <c r="O60" s="299" t="s">
        <v>113</v>
      </c>
      <c r="P60" s="128"/>
      <c r="Q60" s="160" t="s">
        <v>103</v>
      </c>
      <c r="R60" s="327">
        <f t="shared" si="93"/>
        <v>0</v>
      </c>
      <c r="S60" s="162">
        <f>+IF($C$8=Lister!$O$5,C$30*Takstblad!C$81,0)</f>
        <v>0</v>
      </c>
      <c r="T60" s="162">
        <f>+IF($C$8=Lister!$O$5,D$30*Takstblad!D$81,0)</f>
        <v>0</v>
      </c>
      <c r="U60" s="162">
        <f>+IF($C$8=Lister!$O$5,E$30*Takstblad!E$81,0)</f>
        <v>0</v>
      </c>
      <c r="V60" s="162">
        <f>+IF($C$8=Lister!$O$5,F$30*Takstblad!F$81,0)</f>
        <v>0</v>
      </c>
      <c r="W60" s="162">
        <f>+IF($C$8=Lister!$O$5,G$30*Takstblad!G$81,0)</f>
        <v>0</v>
      </c>
      <c r="X60" s="315">
        <f>+IF($C$8=Lister!$O$5,H$30*Takstblad!H$81,0)</f>
        <v>0</v>
      </c>
      <c r="Y60" s="312">
        <f>+IF($C$8=Lister!$O$5,I$30*Takstblad!I$81,0)</f>
        <v>0</v>
      </c>
      <c r="Z60" s="21">
        <f>+IF($C$8=Lister!$O$5,J$30*Takstblad!J$81,0)</f>
        <v>0</v>
      </c>
      <c r="AA60" s="21">
        <f>+IF($C$8=Lister!$O$5,K$30*Takstblad!K$81,0)</f>
        <v>0</v>
      </c>
      <c r="AB60" s="21">
        <f>+IF($C$8=Lister!$O$5,L$30*Takstblad!L$81,0)</f>
        <v>0</v>
      </c>
      <c r="AC60" s="147">
        <f t="shared" si="98"/>
        <v>0</v>
      </c>
      <c r="AF60" s="70"/>
      <c r="AG60" s="70"/>
      <c r="AH60" s="70"/>
      <c r="AI60" s="70"/>
      <c r="AJ60" s="70"/>
      <c r="AK60" s="70"/>
      <c r="AL60" s="70"/>
      <c r="AM60" s="70"/>
      <c r="AN60" s="70"/>
      <c r="AO60" s="70"/>
      <c r="AP60" s="70"/>
      <c r="AQ60" s="70"/>
      <c r="AR60" s="70"/>
      <c r="AS60" s="70"/>
      <c r="AT60" s="70"/>
      <c r="AU60" s="70"/>
      <c r="AV60" s="70"/>
      <c r="AW60" s="70"/>
      <c r="AX60" s="70"/>
      <c r="AY60" s="70"/>
      <c r="AZ60" s="70"/>
    </row>
    <row r="61" spans="1:65" ht="15" customHeight="1" x14ac:dyDescent="0.2">
      <c r="A61" s="210" t="s">
        <v>114</v>
      </c>
      <c r="B61" s="16"/>
      <c r="C61" s="302"/>
      <c r="D61" s="302"/>
      <c r="E61" s="302"/>
      <c r="F61" s="302"/>
      <c r="G61" s="302"/>
      <c r="H61" s="302"/>
      <c r="I61" s="302"/>
      <c r="J61" s="302"/>
      <c r="K61" s="302"/>
      <c r="L61" s="302"/>
      <c r="M61" s="21">
        <f t="shared" si="89"/>
        <v>0</v>
      </c>
      <c r="N61" s="299"/>
      <c r="O61" s="299" t="s">
        <v>113</v>
      </c>
      <c r="P61" s="128"/>
      <c r="Q61" s="160" t="s">
        <v>108</v>
      </c>
      <c r="R61" s="327">
        <f t="shared" si="93"/>
        <v>0</v>
      </c>
      <c r="S61" s="162">
        <f>+S77+S91</f>
        <v>0</v>
      </c>
      <c r="T61" s="162">
        <f>+IF($C$8="Project-Supplement",((SUMIF($A$20:$A$29,"PhD",D$20:D$29)+SUMIF($A$20:$A$29,"Research Assistant - avr. rate",D$20:D$29)+SUMIF($A$20:$A$29,"Research Assistant - low rate",D$20:D$29)+SUMIF($A$20:$A$29,"Post doc.",D$20:D$29))/12)*Takstblad!D$82,0)</f>
        <v>0</v>
      </c>
      <c r="U61" s="162">
        <f>+IF($C$8="Project-Supplement",((SUMIF($A$20:$A$29,"PhD",E$20:E$29)+SUMIF($A$20:$A$29,"Research Assistant - avr. rate",E$20:E$29)+SUMIF($A$20:$A$29,"Research Assistant - low rate",E$20:E$29)+SUMIF($A$20:$A$29,"Post doc.",E$20:E$29))/12)*Takstblad!E$82,0)</f>
        <v>0</v>
      </c>
      <c r="V61" s="162">
        <f>+IF($C$8="Project-Supplement",((SUMIF($A$20:$A$29,"PhD",F$20:F$29)+SUMIF($A$20:$A$29,"Research Assistant - avr. rate",F$20:F$29)+SUMIF($A$20:$A$29,"Research Assistant - low rate",F$20:F$29)+SUMIF($A$20:$A$29,"Post doc.",F$20:F$29))/12)*Takstblad!F$82,0)</f>
        <v>0</v>
      </c>
      <c r="W61" s="162">
        <f>+IF($C$8="Project-Supplement",((SUMIF($A$20:$A$29,"PhD",G$20:G$29)+SUMIF($A$20:$A$29,"Research Assistant - avr. rate",G$20:G$29)+SUMIF($A$20:$A$29,"Research Assistant - low rate",G$20:G$29)+SUMIF($A$20:$A$29,"Post doc.",G$20:G$29))/12)*Takstblad!G$82,0)</f>
        <v>0</v>
      </c>
      <c r="X61" s="315">
        <f>+IF($C$8="Project-Supplement",((SUMIF($A$20:$A$29,"PhD",H$20:H$29)+SUMIF($A$20:$A$29,"Research Assistant - avr. rate",H$20:H$29)+SUMIF($A$20:$A$29,"Research Assistant - low rate",H$20:H$29)+SUMIF($A$20:$A$29,"Post doc.",H$20:H$29))/12)*Takstblad!H$82,0)</f>
        <v>0</v>
      </c>
      <c r="Y61" s="312">
        <f>+IF($C$8="Project-Supplement",((SUMIF($A$20:$A$29,"PhD",I$20:I$29)+SUMIF($A$20:$A$29,"Research Assistant - avr. rate",I$20:I$29)+SUMIF($A$20:$A$29,"Research Assistant - low rate",I$20:I$29)+SUMIF($A$20:$A$29,"Post doc.",I$20:I$29))/12)*Takstblad!I$82,0)</f>
        <v>0</v>
      </c>
      <c r="Z61" s="21">
        <f>+IF($C$8="Project-Supplement",((SUMIF($A$20:$A$29,"PhD",J$20:J$29)+SUMIF($A$20:$A$29,"Research Assistant - avr. rate",J$20:J$29)+SUMIF($A$20:$A$29,"Research Assistant - low rate",J$20:J$29)+SUMIF($A$20:$A$29,"Post doc.",J$20:J$29))/12)*Takstblad!J$82,0)</f>
        <v>0</v>
      </c>
      <c r="AA61" s="21">
        <f>+IF($C$8="Project-Supplement",((SUMIF($A$20:$A$29,"PhD",K$20:K$29)+SUMIF($A$20:$A$29,"Research Assistant - avr. rate",K$20:K$29)+SUMIF($A$20:$A$29,"Research Assistant - low rate",K$20:K$29)+SUMIF($A$20:$A$29,"Post doc.",K$20:K$29))/12)*Takstblad!K$82,0)</f>
        <v>0</v>
      </c>
      <c r="AB61" s="21">
        <f>+IF($C$8="Project-Supplement",((SUMIF($A$20:$A$29,"PhD",L$20:L$29)+SUMIF($A$20:$A$29,"Research Assistant - avr. rate",L$20:L$29)+SUMIF($A$20:$A$29,"Research Assistant - low rate",L$20:L$29)+SUMIF($A$20:$A$29,"Post doc.",L$20:L$29))/12)*Takstblad!L$82,0)</f>
        <v>0</v>
      </c>
      <c r="AC61" s="147">
        <f t="shared" si="98"/>
        <v>0</v>
      </c>
      <c r="AF61" s="70"/>
      <c r="AG61" s="70"/>
      <c r="AH61" s="70"/>
      <c r="AI61" s="70"/>
      <c r="AJ61" s="70"/>
      <c r="AK61" s="70"/>
      <c r="AL61" s="70"/>
      <c r="AM61" s="70"/>
      <c r="AN61" s="70"/>
      <c r="AO61" s="70"/>
      <c r="AP61" s="70"/>
      <c r="AQ61" s="70"/>
      <c r="AR61" s="70"/>
      <c r="AS61" s="70"/>
      <c r="AT61" s="70"/>
      <c r="AU61" s="70"/>
      <c r="AV61" s="70"/>
      <c r="AW61" s="70"/>
      <c r="AX61" s="70"/>
      <c r="AY61" s="70"/>
      <c r="AZ61" s="70"/>
    </row>
    <row r="62" spans="1:65" s="11" customFormat="1" ht="15" customHeight="1" x14ac:dyDescent="0.2">
      <c r="A62" s="230" t="s">
        <v>114</v>
      </c>
      <c r="B62" s="231"/>
      <c r="C62" s="302"/>
      <c r="D62" s="302"/>
      <c r="E62" s="302"/>
      <c r="F62" s="302"/>
      <c r="G62" s="302"/>
      <c r="H62" s="302"/>
      <c r="I62" s="302"/>
      <c r="J62" s="302"/>
      <c r="K62" s="302"/>
      <c r="L62" s="302"/>
      <c r="M62" s="21">
        <f t="shared" si="89"/>
        <v>0</v>
      </c>
      <c r="N62" s="299"/>
      <c r="O62" s="299" t="s">
        <v>113</v>
      </c>
      <c r="P62" s="128"/>
      <c r="Q62" s="159" t="s">
        <v>545</v>
      </c>
      <c r="R62" s="327">
        <f t="shared" si="93"/>
        <v>0</v>
      </c>
      <c r="S62" s="162" t="str">
        <f>IF($C$12=2,(SUM(S58:S61)*$C$13)/100,"0")</f>
        <v>0</v>
      </c>
      <c r="T62" s="162" t="str">
        <f t="shared" ref="T62:Z62" si="104">IF($C$12=2,(SUM(T58:T61)*$C$13)/100,"0")</f>
        <v>0</v>
      </c>
      <c r="U62" s="162" t="str">
        <f t="shared" si="104"/>
        <v>0</v>
      </c>
      <c r="V62" s="162" t="str">
        <f t="shared" si="104"/>
        <v>0</v>
      </c>
      <c r="W62" s="162" t="str">
        <f t="shared" si="104"/>
        <v>0</v>
      </c>
      <c r="X62" s="315" t="str">
        <f t="shared" si="104"/>
        <v>0</v>
      </c>
      <c r="Y62" s="313" t="str">
        <f t="shared" si="104"/>
        <v>0</v>
      </c>
      <c r="Z62" s="162" t="str">
        <f t="shared" si="104"/>
        <v>0</v>
      </c>
      <c r="AA62" s="162" t="str">
        <f t="shared" ref="AA62:AB62" si="105">IF($C$12=2,(SUM(AA58:AA61)*$C$13)/100,"0")</f>
        <v>0</v>
      </c>
      <c r="AB62" s="162" t="str">
        <f t="shared" si="105"/>
        <v>0</v>
      </c>
      <c r="AC62" s="147">
        <f t="shared" si="98"/>
        <v>0</v>
      </c>
      <c r="AF62" s="70"/>
      <c r="AG62" s="70"/>
      <c r="AH62" s="70"/>
      <c r="AI62" s="70"/>
      <c r="AJ62" s="70"/>
      <c r="AK62" s="70"/>
      <c r="AL62" s="70"/>
      <c r="AM62" s="70"/>
      <c r="AN62" s="70"/>
      <c r="AO62" s="70"/>
      <c r="AP62" s="70"/>
      <c r="AQ62" s="70"/>
      <c r="AR62" s="78"/>
      <c r="AS62" s="78"/>
      <c r="AT62" s="78"/>
      <c r="AU62" s="78"/>
      <c r="AV62" s="78"/>
      <c r="AW62" s="78"/>
      <c r="AX62" s="78"/>
      <c r="AY62" s="78"/>
      <c r="AZ62" s="78"/>
    </row>
    <row r="63" spans="1:65" s="11" customFormat="1" ht="15" customHeight="1" x14ac:dyDescent="0.2">
      <c r="A63" s="5" t="s">
        <v>234</v>
      </c>
      <c r="B63" s="16"/>
      <c r="C63" s="28">
        <f>IFERROR(IF($C$12=2,0,IF($C$8="project-supplement",0,IF(OR($G$7="Salary and Operations",$G$7="Operations"),(VLOOKUP($C$2,Takstblad!$B$68:$L$80,2,FALSE)*C$67)))),0)</f>
        <v>0</v>
      </c>
      <c r="D63" s="28">
        <f>IFERROR(IF($C$12=2,0,IF($C$8="project-supplement",0,IF(OR($G$7="Salary and Operations",$G$7="Operations"),(VLOOKUP($C$2,Takstblad!$B$68:$L$80,3,FALSE)*D$67)))),0)</f>
        <v>0</v>
      </c>
      <c r="E63" s="28">
        <f>IFERROR(IF($C$12=2,0,IF($C$8="project-supplement",0,IF(OR($G$7="Salary and Operations",$G$7="Operations"),(VLOOKUP($C$2,Takstblad!$B$68:$L$80,4,FALSE)*E$67)))),0)</f>
        <v>0</v>
      </c>
      <c r="F63" s="28">
        <f>IFERROR(IF($C$12=2,0,IF($C$8="project-supplement",0,IF(OR($G$7="Salary and Operations",$G$7="Operations"),(VLOOKUP($C$2,Takstblad!$B$68:$L$80,5,FALSE)*F$67)))),0)</f>
        <v>0</v>
      </c>
      <c r="G63" s="28">
        <f>IFERROR(IF($C$12=2,0,IF($C$8="project-supplement",0,IF(OR($G$7="Salary and Operations",$G$7="Operations"),(VLOOKUP($C$2,Takstblad!$B$68:$L$80,6,FALSE)*G$67)))),0)</f>
        <v>0</v>
      </c>
      <c r="H63" s="28">
        <f>IFERROR(IF($C$12=2,0,IF($C$8="project-supplement",0,IF(OR($G$7="Salary and Operations",$G$7="Operations"),(VLOOKUP($C$2,Takstblad!$B$68:$L$80,7,FALSE)*H$67)))),0)</f>
        <v>0</v>
      </c>
      <c r="I63" s="28">
        <f>IFERROR(IF($C$12=2,0,IF($C$8="project-supplement",0,IF(OR($G$7="Salary and Operations",$G$7="Operations"),(VLOOKUP($C$2,Takstblad!$B$68:$L$80,8,FALSE)*I$67)))),0)</f>
        <v>0</v>
      </c>
      <c r="J63" s="28">
        <f>IFERROR(IF($C$12=2,0,IF($C$8="project-supplement",0,IF(OR($G$7="Salary and Operations",$G$7="Operations"),(VLOOKUP($C$2,Takstblad!$B$68:$L$80,9,FALSE)*J$67)))),0)</f>
        <v>0</v>
      </c>
      <c r="K63" s="28">
        <f>IFERROR(IF($C$12=2,0,IF($C$8="project-supplement",0,IF(OR($G$7="Salary and Operations",$G$7="Operations"),(VLOOKUP($C$2,Takstblad!$B$68:$L$80,10,FALSE)*K$67)))),0)</f>
        <v>0</v>
      </c>
      <c r="L63" s="28">
        <f>IFERROR(IF($C$12=2,0,IF($C$8="project-supplement",0,IF(OR($G$7="Salary and Operations",$G$7="Operations"),(VLOOKUP($C$2,Takstblad!$B$68:$L$80,11,FALSE)*L$67)))),0)</f>
        <v>0</v>
      </c>
      <c r="M63" s="21">
        <f t="shared" si="89"/>
        <v>0</v>
      </c>
      <c r="N63" s="21"/>
      <c r="O63" s="236" t="s">
        <v>152</v>
      </c>
      <c r="P63" s="127"/>
      <c r="Q63" s="158" t="s">
        <v>101</v>
      </c>
      <c r="R63" s="327">
        <f t="shared" si="93"/>
        <v>0</v>
      </c>
      <c r="S63" s="328">
        <f>+SUM(S58:S62)</f>
        <v>0</v>
      </c>
      <c r="T63" s="328">
        <f t="shared" ref="T63:Z63" si="106">+SUM(T58:T62)</f>
        <v>0</v>
      </c>
      <c r="U63" s="328">
        <f t="shared" si="106"/>
        <v>0</v>
      </c>
      <c r="V63" s="328">
        <f t="shared" si="106"/>
        <v>0</v>
      </c>
      <c r="W63" s="328">
        <f t="shared" si="106"/>
        <v>0</v>
      </c>
      <c r="X63" s="329">
        <f t="shared" si="106"/>
        <v>0</v>
      </c>
      <c r="Y63" s="311">
        <f t="shared" si="106"/>
        <v>0</v>
      </c>
      <c r="Z63" s="146">
        <f t="shared" si="106"/>
        <v>0</v>
      </c>
      <c r="AA63" s="146">
        <f t="shared" ref="AA63:AB63" si="107">+SUM(AA58:AA62)</f>
        <v>0</v>
      </c>
      <c r="AB63" s="146">
        <f t="shared" si="107"/>
        <v>0</v>
      </c>
      <c r="AC63" s="147">
        <f t="shared" si="98"/>
        <v>0</v>
      </c>
      <c r="AF63" s="70"/>
      <c r="AG63" s="70"/>
      <c r="AH63" s="70"/>
      <c r="AI63" s="70"/>
      <c r="AJ63" s="70"/>
      <c r="AK63" s="70"/>
      <c r="AL63" s="70"/>
      <c r="AM63" s="70"/>
      <c r="AN63" s="70"/>
      <c r="AO63" s="70"/>
      <c r="AP63" s="70"/>
      <c r="AQ63" s="70"/>
      <c r="AR63" s="78"/>
      <c r="AS63" s="78"/>
      <c r="AT63" s="78"/>
      <c r="AU63" s="78"/>
      <c r="AV63" s="78"/>
      <c r="AW63" s="78"/>
      <c r="AX63" s="78"/>
      <c r="AY63" s="78"/>
      <c r="AZ63" s="78"/>
    </row>
    <row r="64" spans="1:65" ht="15" customHeight="1" thickBot="1" x14ac:dyDescent="0.25">
      <c r="A64" s="5" t="s">
        <v>764</v>
      </c>
      <c r="B64" s="16"/>
      <c r="C64" s="28">
        <f>IFERROR(IF($C$12=2,0,IF($C$8="project-supplement",0,IF(OR($G$7="Salary and Operations",$G$7="Operations"),(VLOOKUP($C$2,Takstblad!$B$68:$L$80,2,FALSE)*C$68)))),0)</f>
        <v>0</v>
      </c>
      <c r="D64" s="28">
        <f>IFERROR(IF($C$12=2,0,IF($C$8="project-supplement",0,IF(OR($G$7="Salary and Operations",$G$7="Operations"),(VLOOKUP($C$2,Takstblad!$B$68:$L$80,3,FALSE)*D$68)))),0)</f>
        <v>0</v>
      </c>
      <c r="E64" s="28">
        <f>IFERROR(IF($C$12=2,0,IF($C$8="project-supplement",0,IF(OR($G$7="Salary and Operations",$G$7="Operations"),(VLOOKUP($C$2,Takstblad!$B$68:$L$80,4,FALSE)*E$68)))),0)</f>
        <v>0</v>
      </c>
      <c r="F64" s="28">
        <f>IFERROR(IF($C$12=2,0,IF($C$8="project-supplement",0,IF(OR($G$7="Salary and Operations",$G$7="Operations"),(VLOOKUP($C$2,Takstblad!$B$68:$L$80,5,FALSE)*F$68)))),0)</f>
        <v>0</v>
      </c>
      <c r="G64" s="28">
        <f>IFERROR(IF($C$12=2,0,IF($C$8="project-supplement",0,IF(OR($G$7="Salary and Operations",$G$7="Operations"),(VLOOKUP($C$2,Takstblad!$B$68:$L$80,6,FALSE)*G$68)))),0)</f>
        <v>0</v>
      </c>
      <c r="H64" s="28">
        <f>IFERROR(IF($C$12=2,0,IF($C$8="project-supplement",0,IF(OR($G$7="Salary and Operations",$G$7="Operations"),(VLOOKUP($C$2,Takstblad!$B$68:$L$80,7,FALSE)*H$68)))),0)</f>
        <v>0</v>
      </c>
      <c r="I64" s="28">
        <f>IFERROR(IF($C$12=2,0,IF($C$8="project-supplement",0,IF(OR($G$7="Salary and Operations",$G$7="Operations"),(VLOOKUP($C$2,Takstblad!$B$68:$L$80,8,FALSE)*I$68)))),0)</f>
        <v>0</v>
      </c>
      <c r="J64" s="28">
        <f>IFERROR(IF($C$12=2,0,IF($C$8="project-supplement",0,IF(OR($G$7="Salary and Operations",$G$7="Operations"),(VLOOKUP($C$2,Takstblad!$B$68:$L$80,9,FALSE)*J$68)))),0)</f>
        <v>0</v>
      </c>
      <c r="K64" s="28">
        <f>IFERROR(IF($C$12=2,0,IF($C$8="project-supplement",0,IF(OR($G$7="Salary and Operations",$G$7="Operations"),(VLOOKUP($C$2,Takstblad!$B$68:$L$80,10,FALSE)*K$68)))),0)</f>
        <v>0</v>
      </c>
      <c r="L64" s="28">
        <f>IFERROR(IF($C$12=2,0,IF($C$8="project-supplement",0,IF(OR($G$7="Salary and Operations",$G$7="Operations"),(VLOOKUP($C$2,Takstblad!$B$68:$L$80,11,FALSE)*L$68)))),0)</f>
        <v>0</v>
      </c>
      <c r="M64" s="21">
        <f t="shared" si="89"/>
        <v>0</v>
      </c>
      <c r="N64" s="95"/>
      <c r="O64" s="236" t="s">
        <v>112</v>
      </c>
      <c r="P64" s="127"/>
      <c r="Q64" s="136"/>
      <c r="R64" s="138"/>
      <c r="S64" s="137"/>
      <c r="T64" s="137"/>
      <c r="U64" s="137"/>
      <c r="V64" s="137"/>
      <c r="W64" s="137"/>
      <c r="X64" s="138"/>
      <c r="Y64" s="137"/>
      <c r="Z64" s="137"/>
      <c r="AA64" s="137"/>
      <c r="AB64" s="137"/>
      <c r="AC64" s="138"/>
      <c r="AF64" s="78"/>
      <c r="AG64" s="78"/>
      <c r="AH64" s="78"/>
      <c r="AI64" s="78"/>
      <c r="AJ64" s="78"/>
      <c r="AK64" s="78"/>
      <c r="AL64" s="78"/>
      <c r="AM64" s="78"/>
      <c r="AN64" s="78"/>
      <c r="AO64" s="78"/>
      <c r="AP64" s="78"/>
      <c r="AQ64" s="78"/>
      <c r="AR64" s="70"/>
      <c r="AS64" s="70"/>
      <c r="AT64" s="70"/>
      <c r="AU64" s="70"/>
      <c r="AV64" s="70"/>
      <c r="AW64" s="70"/>
      <c r="AX64" s="70"/>
      <c r="AY64" s="70"/>
      <c r="AZ64" s="70"/>
    </row>
    <row r="65" spans="1:62" ht="15" customHeight="1" thickBot="1" x14ac:dyDescent="0.3">
      <c r="A65" s="4" t="s">
        <v>72</v>
      </c>
      <c r="B65" s="16"/>
      <c r="C65" s="22">
        <f>SUM(C52:C64)-SUMIF($A$52:$A$62,Lister!$M$9,C52:C62)</f>
        <v>0</v>
      </c>
      <c r="D65" s="22">
        <f>SUM(D52:D64)-SUMIF($A$52:$A$62,Lister!$M$9,D52:D62)</f>
        <v>0</v>
      </c>
      <c r="E65" s="22">
        <f>SUM(E52:E64)-SUMIF($A$52:$A$62,Lister!$M$9,E52:E62)</f>
        <v>0</v>
      </c>
      <c r="F65" s="22">
        <f>SUM(F52:F64)-SUMIF($A$52:$A$62,Lister!$M$9,F52:F62)</f>
        <v>0</v>
      </c>
      <c r="G65" s="22">
        <f>SUM(G52:G64)-SUMIF($A$52:$A$62,Lister!$M$9,G52:G62)</f>
        <v>0</v>
      </c>
      <c r="H65" s="22">
        <f>SUM(H52:H64)-SUMIF($A$52:$A$62,Lister!$M$9,H52:H62)</f>
        <v>0</v>
      </c>
      <c r="I65" s="51">
        <f>SUM(I52:I64)-SUMIF($A$52:$A$62,Lister!$M$9,I52:I62)</f>
        <v>0</v>
      </c>
      <c r="J65" s="51">
        <f>SUM(J52:J64)-SUMIF($A$52:$A$62,Lister!$M$9,J52:J62)</f>
        <v>0</v>
      </c>
      <c r="K65" s="51">
        <f>SUM(K52:K64)-SUMIF($A$52:$A$62,Lister!$M$9,K52:K62)</f>
        <v>0</v>
      </c>
      <c r="L65" s="51">
        <f>SUM(L52:L64)-SUMIF($A$52:$A$62,Lister!$M$9,L52:L62)</f>
        <v>0</v>
      </c>
      <c r="M65" s="13">
        <f t="shared" si="89"/>
        <v>0</v>
      </c>
      <c r="N65" s="13"/>
      <c r="O65" s="16"/>
      <c r="P65" s="16"/>
      <c r="Q65" s="139" t="s">
        <v>605</v>
      </c>
      <c r="R65" s="140"/>
      <c r="S65" s="241"/>
      <c r="T65" s="145"/>
      <c r="U65" s="145"/>
      <c r="V65" s="145"/>
      <c r="W65" s="145"/>
      <c r="X65" s="320"/>
      <c r="Y65" s="145"/>
      <c r="Z65" s="145"/>
      <c r="AA65" s="145"/>
      <c r="AB65" s="145"/>
      <c r="AC65" s="140"/>
      <c r="AF65" s="78"/>
      <c r="AG65" s="78"/>
      <c r="AH65" s="78"/>
      <c r="AI65" s="78"/>
      <c r="AJ65" s="78"/>
      <c r="AK65" s="78"/>
      <c r="AL65" s="78"/>
      <c r="AM65" s="78"/>
      <c r="AN65" s="78"/>
      <c r="AO65" s="78"/>
      <c r="AP65" s="78"/>
      <c r="AQ65" s="78"/>
      <c r="AR65" s="70"/>
      <c r="AS65" s="70"/>
      <c r="AT65" s="70"/>
      <c r="AU65" s="70"/>
      <c r="AV65" s="70"/>
      <c r="AW65" s="70"/>
      <c r="AX65" s="70"/>
      <c r="AY65" s="70"/>
      <c r="AZ65" s="70"/>
    </row>
    <row r="66" spans="1:62" s="9" customFormat="1" ht="15" customHeight="1" x14ac:dyDescent="0.2">
      <c r="A66" s="71"/>
      <c r="B66" s="76"/>
      <c r="C66" s="76"/>
      <c r="D66" s="76"/>
      <c r="E66" s="76"/>
      <c r="F66" s="76"/>
      <c r="G66" s="76"/>
      <c r="H66" s="76"/>
      <c r="I66" s="76"/>
      <c r="J66" s="76"/>
      <c r="K66" s="76"/>
      <c r="L66" s="76"/>
      <c r="M66" s="76"/>
      <c r="N66" s="76"/>
      <c r="O66" s="86"/>
      <c r="P66" s="86"/>
      <c r="Q66" s="141"/>
      <c r="R66" s="142"/>
      <c r="S66" s="16"/>
      <c r="T66" s="76"/>
      <c r="U66" s="76"/>
      <c r="V66" s="76"/>
      <c r="W66" s="76"/>
      <c r="X66" s="142"/>
      <c r="Y66" s="76"/>
      <c r="Z66" s="76"/>
      <c r="AA66" s="76"/>
      <c r="AB66" s="76"/>
      <c r="AC66" s="142"/>
      <c r="AF66" s="70"/>
      <c r="AG66" s="70"/>
      <c r="AH66" s="70"/>
      <c r="AI66" s="70"/>
      <c r="AJ66" s="70"/>
      <c r="AK66" s="70"/>
      <c r="AL66" s="70"/>
      <c r="AM66" s="70"/>
      <c r="AN66" s="70"/>
      <c r="AO66" s="70"/>
      <c r="AP66" s="70"/>
      <c r="AQ66" s="70"/>
      <c r="AR66" s="71"/>
      <c r="AS66" s="71"/>
      <c r="AT66" s="71"/>
      <c r="AU66" s="71"/>
      <c r="AV66" s="71"/>
      <c r="AW66" s="71"/>
      <c r="AX66" s="71"/>
      <c r="AY66" s="71"/>
      <c r="AZ66" s="71"/>
    </row>
    <row r="67" spans="1:62" ht="15" hidden="1" customHeight="1" x14ac:dyDescent="0.2">
      <c r="A67" s="71" t="s">
        <v>196</v>
      </c>
      <c r="B67" s="70"/>
      <c r="C67" s="109">
        <f>SUMIFS(C33:C42,$O$33:$O$42,Lister!$D$30,$B$33:$B$42,Lister!$A$37)+SUMIFS(C33:C42,$O$33:$O$42,Lister!$D$29,$B$33:$B$42,Lister!$A$37)</f>
        <v>0</v>
      </c>
      <c r="D67" s="109">
        <f>SUMIFS(D33:D42,$O$33:$O$42,Lister!$D$30,$B$33:$B$42,Lister!$A$37)+SUMIFS(D33:D42,$O$33:$O$42,Lister!$D$29,$B$33:$B$42,Lister!$A$37)</f>
        <v>0</v>
      </c>
      <c r="E67" s="109">
        <f>SUMIFS(E33:E42,$O$33:$O$42,Lister!$D$30,$B$33:$B$42,Lister!$A$37)+SUMIFS(E33:E42,$O$33:$O$42,Lister!$D$29,$B$33:$B$42,Lister!$A$37)</f>
        <v>0</v>
      </c>
      <c r="F67" s="109">
        <f>SUMIFS(F33:F42,$O$33:$O$42,Lister!$D$30,$B$33:$B$42,Lister!$A$37)+SUMIFS(F33:F42,$O$33:$O$42,Lister!$D$29,$B$33:$B$42,Lister!$A$37)</f>
        <v>0</v>
      </c>
      <c r="G67" s="109">
        <f>SUMIFS(G33:G42,$O$33:$O$42,Lister!$D$30,$B$33:$B$42,Lister!$A$37)+SUMIFS(G33:G42,$O$33:$O$42,Lister!$D$29,$B$33:$B$42,Lister!$A$37)</f>
        <v>0</v>
      </c>
      <c r="H67" s="109">
        <f>SUMIFS(H33:H42,$O$33:$O$42,Lister!$D$30,$B$33:$B$42,Lister!$A$37)+SUMIFS(H33:H42,$O$33:$O$42,Lister!$D$29,$B$33:$B$42,Lister!$A$37)</f>
        <v>0</v>
      </c>
      <c r="I67" s="109">
        <f>SUMIFS(I33:I42,$O$33:$O$42,Lister!$D$30,$B$33:$B$42,Lister!$A$37)+SUMIFS(I33:I42,$O$33:$O$42,Lister!$D$29,$B$33:$B$42,Lister!$A$37)</f>
        <v>0</v>
      </c>
      <c r="J67" s="109">
        <f>SUMIFS(J33:J42,$O$33:$O$42,Lister!$D$30,$B$33:$B$42,Lister!$A$37)+SUMIFS(J33:J42,$O$33:$O$42,Lister!$D$29,$B$33:$B$42,Lister!$A$37)</f>
        <v>0</v>
      </c>
      <c r="K67" s="109">
        <f>SUMIFS(K33:K42,$O$33:$O$42,Lister!$D$30,$B$33:$B$42,Lister!$A$37)+SUMIFS(K33:K42,$O$33:$O$42,Lister!$D$29,$B$33:$B$42,Lister!$A$37)</f>
        <v>0</v>
      </c>
      <c r="L67" s="109">
        <f>SUMIFS(L33:L42,$O$33:$O$42,Lister!$D$30,$B$33:$B$42,Lister!$A$37)+SUMIFS(L33:L42,$O$33:$O$42,Lister!$D$29,$B$33:$B$42,Lister!$A$37)</f>
        <v>0</v>
      </c>
      <c r="M67" s="70"/>
      <c r="N67" s="70"/>
      <c r="O67" s="85"/>
      <c r="P67" s="85"/>
      <c r="Q67" s="141"/>
      <c r="R67" s="142"/>
      <c r="S67" s="16"/>
      <c r="T67" s="76"/>
      <c r="U67" s="76"/>
      <c r="V67" s="76"/>
      <c r="W67" s="76"/>
      <c r="X67" s="142"/>
      <c r="Y67" s="76"/>
      <c r="Z67" s="76"/>
      <c r="AA67" s="76"/>
      <c r="AB67" s="76"/>
      <c r="AC67" s="142"/>
      <c r="AF67" s="70"/>
      <c r="AG67" s="70"/>
      <c r="AH67" s="70"/>
      <c r="AI67" s="70"/>
      <c r="AJ67" s="70"/>
      <c r="AK67" s="70"/>
      <c r="AL67" s="70"/>
      <c r="AM67" s="70"/>
      <c r="AN67" s="70"/>
      <c r="AO67" s="70"/>
      <c r="AP67" s="70"/>
      <c r="AQ67" s="70"/>
      <c r="AR67" s="70"/>
      <c r="AS67" s="70"/>
      <c r="AT67" s="70"/>
      <c r="AU67" s="70"/>
      <c r="AV67" s="70"/>
      <c r="AW67" s="70"/>
      <c r="AX67" s="70"/>
      <c r="AY67" s="70"/>
      <c r="AZ67" s="70"/>
    </row>
    <row r="68" spans="1:62" ht="15" hidden="1" customHeight="1" x14ac:dyDescent="0.2">
      <c r="A68" s="71" t="s">
        <v>197</v>
      </c>
      <c r="B68" s="71"/>
      <c r="C68" s="109">
        <f>SUMIFS(C33:C42,$O$33:$O$42,Lister!$D$31,$B$33:$B$42,Lister!$A$37)</f>
        <v>0</v>
      </c>
      <c r="D68" s="109">
        <f>SUMIFS(D33:D42,$O$33:$O$42,Lister!$D$31,$B$33:$B$42,Lister!$A$37)</f>
        <v>0</v>
      </c>
      <c r="E68" s="109">
        <f>SUMIFS(E33:E42,$O$33:$O$42,Lister!$D$31,$B$33:$B$42,Lister!$A$37)</f>
        <v>0</v>
      </c>
      <c r="F68" s="109">
        <f>SUMIFS(F33:F42,$O$33:$O$42,Lister!$D$31,$B$33:$B$42,Lister!$A$37)</f>
        <v>0</v>
      </c>
      <c r="G68" s="109">
        <f>SUMIFS(G33:G42,$O$33:$O$42,Lister!$D$31,$B$33:$B$42,Lister!$A$37)</f>
        <v>0</v>
      </c>
      <c r="H68" s="109">
        <f>SUMIFS(H33:H42,$O$33:$O$42,Lister!$D$31,$B$33:$B$42,Lister!$A$37)</f>
        <v>0</v>
      </c>
      <c r="I68" s="109">
        <f>SUMIFS(I33:I42,$O$33:$O$42,Lister!$D$31,$B$33:$B$42,Lister!$A$37)</f>
        <v>0</v>
      </c>
      <c r="J68" s="109">
        <f>SUMIFS(J33:J42,$O$33:$O$42,Lister!$D$31,$B$33:$B$42,Lister!$A$37)</f>
        <v>0</v>
      </c>
      <c r="K68" s="109">
        <f>SUMIFS(K33:K42,$O$33:$O$42,Lister!$D$31,$B$33:$B$42,Lister!$A$37)</f>
        <v>0</v>
      </c>
      <c r="L68" s="109">
        <f>SUMIFS(L33:L42,$O$33:$O$42,Lister!$D$31,$B$33:$B$42,Lister!$A$37)</f>
        <v>0</v>
      </c>
      <c r="M68" s="71"/>
      <c r="N68" s="71"/>
      <c r="O68" s="87"/>
      <c r="P68" s="87"/>
      <c r="Q68" s="141"/>
      <c r="R68" s="142"/>
      <c r="S68" s="16"/>
      <c r="T68" s="76"/>
      <c r="U68" s="76"/>
      <c r="V68" s="76"/>
      <c r="W68" s="76"/>
      <c r="X68" s="142"/>
      <c r="Y68" s="76"/>
      <c r="Z68" s="76"/>
      <c r="AA68" s="76"/>
      <c r="AB68" s="76"/>
      <c r="AC68" s="142"/>
      <c r="AF68" s="71"/>
      <c r="AG68" s="71"/>
      <c r="AH68" s="71"/>
      <c r="AI68" s="71"/>
      <c r="AJ68" s="71"/>
      <c r="AK68" s="71"/>
      <c r="AL68" s="71"/>
      <c r="AM68" s="71"/>
      <c r="AN68" s="71"/>
      <c r="AO68" s="71"/>
      <c r="AP68" s="71"/>
      <c r="AQ68" s="71"/>
      <c r="AR68" s="70"/>
      <c r="AS68" s="70"/>
    </row>
    <row r="69" spans="1:62" s="9" customFormat="1" ht="15" customHeight="1" x14ac:dyDescent="0.2">
      <c r="A69" s="70"/>
      <c r="B69" s="73"/>
      <c r="C69" s="70"/>
      <c r="D69" s="70"/>
      <c r="E69" s="70"/>
      <c r="F69" s="70"/>
      <c r="G69" s="70"/>
      <c r="H69" s="73"/>
      <c r="I69" s="73"/>
      <c r="J69" s="73"/>
      <c r="K69" s="73"/>
      <c r="L69" s="73"/>
      <c r="M69" s="73"/>
      <c r="N69" s="73"/>
      <c r="O69" s="88"/>
      <c r="P69" s="88"/>
      <c r="Q69" s="161" t="s">
        <v>22</v>
      </c>
      <c r="R69" s="133" t="s">
        <v>34</v>
      </c>
      <c r="S69" s="45">
        <f>+S53</f>
        <v>2025</v>
      </c>
      <c r="T69" s="8">
        <f t="shared" ref="T69:Z69" si="108">+T53</f>
        <v>2026</v>
      </c>
      <c r="U69" s="8">
        <f t="shared" si="108"/>
        <v>2027</v>
      </c>
      <c r="V69" s="8">
        <f t="shared" si="108"/>
        <v>2028</v>
      </c>
      <c r="W69" s="8">
        <f t="shared" si="108"/>
        <v>2029</v>
      </c>
      <c r="X69" s="133">
        <f t="shared" si="108"/>
        <v>2030</v>
      </c>
      <c r="Y69" s="8">
        <f t="shared" si="108"/>
        <v>2031</v>
      </c>
      <c r="Z69" s="8">
        <f t="shared" si="108"/>
        <v>2032</v>
      </c>
      <c r="AA69" s="8">
        <f t="shared" ref="AA69:AB69" si="109">+AA53</f>
        <v>2033</v>
      </c>
      <c r="AB69" s="8">
        <f t="shared" si="109"/>
        <v>2034</v>
      </c>
      <c r="AC69" s="133" t="s">
        <v>34</v>
      </c>
      <c r="AF69" s="71"/>
      <c r="AG69" s="71"/>
      <c r="AH69" s="71"/>
      <c r="AI69" s="71"/>
      <c r="AJ69" s="71"/>
      <c r="AK69" s="71"/>
      <c r="AL69" s="71"/>
      <c r="AM69" s="71"/>
      <c r="AN69" s="71"/>
      <c r="AO69" s="71"/>
      <c r="AP69" s="71"/>
      <c r="AQ69" s="71"/>
      <c r="AR69" s="71"/>
      <c r="AS69" s="71"/>
    </row>
    <row r="70" spans="1:62" s="9" customFormat="1" ht="14.25" customHeight="1" x14ac:dyDescent="0.2">
      <c r="A70" s="70"/>
      <c r="B70" s="78"/>
      <c r="C70" s="78"/>
      <c r="D70" s="78"/>
      <c r="E70" s="78"/>
      <c r="F70" s="78"/>
      <c r="G70" s="78"/>
      <c r="H70" s="78"/>
      <c r="I70" s="78"/>
      <c r="J70" s="78"/>
      <c r="K70" s="78"/>
      <c r="L70" s="78"/>
      <c r="M70" s="78"/>
      <c r="N70" s="78"/>
      <c r="O70" s="89"/>
      <c r="P70" s="89"/>
      <c r="Q70" s="156" t="s">
        <v>74</v>
      </c>
      <c r="R70" s="330">
        <f t="shared" ref="R70:R79" si="110">+AC70</f>
        <v>0</v>
      </c>
      <c r="S70" s="331">
        <f>+SUMIF($O$20:$O$29,Lister!$D$29,S20:S29)+SUMIF($O$20:$O$29,Lister!$D$30,S20:S29)</f>
        <v>0</v>
      </c>
      <c r="T70" s="334">
        <f>+SUMIF($O$20:$O$29,Lister!$D$29,T20:T29)+SUMIF($O$20:$O$29,Lister!$D$30,T20:T29)</f>
        <v>0</v>
      </c>
      <c r="U70" s="331">
        <f>+SUMIF($O$20:$O$29,Lister!$D$29,U20:U29)+SUMIF($O$20:$O$29,Lister!$D$30,U20:U29)</f>
        <v>0</v>
      </c>
      <c r="V70" s="334">
        <f>+SUMIF($O$20:$O$29,Lister!$D$29,V20:V29)+SUMIF($O$20:$O$29,Lister!$D$30,V20:V29)</f>
        <v>0</v>
      </c>
      <c r="W70" s="331">
        <f>+SUMIF($O$20:$O$29,Lister!$D$29,W20:W29)+SUMIF($O$20:$O$29,Lister!$D$30,W20:W29)</f>
        <v>0</v>
      </c>
      <c r="X70" s="335">
        <f>+SUMIF($O$20:$O$29,Lister!$D$29,X20:X29)+SUMIF($O$20:$O$29,Lister!$D$30,X20:X29)</f>
        <v>0</v>
      </c>
      <c r="Y70" s="309">
        <f>+SUMIF($O$20:$O$29,Lister!$D$29,Y20:Y29)+SUMIF($O$20:$O$29,Lister!$D$30,Y20:Y29)</f>
        <v>0</v>
      </c>
      <c r="Z70" s="28">
        <f>+SUMIF($O$20:$O$29,Lister!$D$29,Z20:Z29)+SUMIF($O$20:$O$29,Lister!$D$30,Z20:Z29)</f>
        <v>0</v>
      </c>
      <c r="AA70" s="28">
        <f>+SUMIF($O$20:$O$29,Lister!$D$29,AA20:AA29)+SUMIF($O$20:$O$29,Lister!$D$30,AA20:AA29)</f>
        <v>0</v>
      </c>
      <c r="AB70" s="28">
        <f>+SUMIF($O$20:$O$29,Lister!$D$29,AB20:AB29)+SUMIF($O$20:$O$29,Lister!$D$30,AB20:AB29)</f>
        <v>0</v>
      </c>
      <c r="AC70" s="149">
        <f>SUM(S70:AB70)</f>
        <v>0</v>
      </c>
      <c r="AF70" s="71"/>
      <c r="AG70" s="71"/>
      <c r="AH70" s="71"/>
      <c r="AI70" s="71"/>
      <c r="AJ70" s="71"/>
      <c r="AK70" s="71"/>
      <c r="AL70" s="71"/>
      <c r="AM70" s="71"/>
      <c r="AN70" s="71"/>
      <c r="AO70" s="71"/>
      <c r="AP70" s="71"/>
      <c r="AQ70" s="71"/>
      <c r="AR70" s="71"/>
      <c r="AS70" s="71"/>
    </row>
    <row r="71" spans="1:62" ht="14.25" customHeight="1" x14ac:dyDescent="0.2">
      <c r="N71" s="78"/>
      <c r="O71" s="89"/>
      <c r="P71" s="89"/>
      <c r="Q71" s="157" t="s">
        <v>75</v>
      </c>
      <c r="R71" s="324">
        <f t="shared" si="110"/>
        <v>0</v>
      </c>
      <c r="S71" s="325">
        <f>+SUMIF($O$33:$O$45,Lister!$D$29,S33:S45)+SUMIF($O$33:$O$45,Lister!$D$30,S33:S45)</f>
        <v>0</v>
      </c>
      <c r="T71" s="336">
        <f>+SUMIF($O$33:$O$45,Lister!$D$29,T33:T45)+SUMIF($O$33:$O$45,Lister!$D$30,T33:T45)</f>
        <v>0</v>
      </c>
      <c r="U71" s="325">
        <f>+SUMIF($O$33:$O$45,Lister!$D$29,U33:U45)+SUMIF($O$33:$O$45,Lister!$D$30,U33:U45)</f>
        <v>0</v>
      </c>
      <c r="V71" s="336">
        <f>+SUMIF($O$33:$O$45,Lister!$D$29,V33:V45)+SUMIF($O$33:$O$45,Lister!$D$30,V33:V45)</f>
        <v>0</v>
      </c>
      <c r="W71" s="325">
        <f>+SUMIF($O$33:$O$45,Lister!$D$29,W33:W45)+SUMIF($O$33:$O$45,Lister!$D$30,W33:W45)</f>
        <v>0</v>
      </c>
      <c r="X71" s="337">
        <f>+SUMIF($O$33:$O$45,Lister!$D$29,X33:X45)+SUMIF($O$33:$O$45,Lister!$D$30,X33:X45)</f>
        <v>0</v>
      </c>
      <c r="Y71" s="310">
        <f>+SUMIF($O$33:$O$45,Lister!$D$29,Y33:Y45)+SUMIF($O$33:$O$45,Lister!$D$30,Y33:Y45)</f>
        <v>0</v>
      </c>
      <c r="Z71" s="122">
        <f>+SUMIF($O$33:$O$45,Lister!$D$29,Z33:Z45)+SUMIF($O$33:$O$45,Lister!$D$30,Z33:Z45)</f>
        <v>0</v>
      </c>
      <c r="AA71" s="122">
        <f>+SUMIF($O$33:$O$45,Lister!$D$29,AA33:AA45)+SUMIF($O$33:$O$45,Lister!$D$30,AA33:AA45)</f>
        <v>0</v>
      </c>
      <c r="AB71" s="122">
        <f>+SUMIF($O$33:$O$45,Lister!$D$29,AB33:AB45)+SUMIF($O$33:$O$45,Lister!$D$30,AB33:AB45)</f>
        <v>0</v>
      </c>
      <c r="AC71" s="150">
        <f t="shared" ref="AC71:AC79" si="111">SUM(S71:AB71)</f>
        <v>0</v>
      </c>
      <c r="AF71" s="71"/>
      <c r="AG71" s="71"/>
      <c r="AH71" s="71"/>
      <c r="AI71" s="71"/>
      <c r="AJ71" s="71"/>
      <c r="AK71" s="71"/>
      <c r="AL71" s="71"/>
      <c r="AM71" s="71"/>
      <c r="AN71" s="71"/>
      <c r="AO71" s="71"/>
      <c r="AP71" s="71"/>
      <c r="AQ71" s="71"/>
      <c r="AR71" s="70"/>
      <c r="AS71" s="70"/>
    </row>
    <row r="72" spans="1:62" s="14" customFormat="1" ht="14.25" customHeight="1" x14ac:dyDescent="0.2">
      <c r="N72" s="70"/>
      <c r="O72" s="85"/>
      <c r="P72" s="85"/>
      <c r="Q72" s="158" t="s">
        <v>76</v>
      </c>
      <c r="R72" s="327">
        <f t="shared" si="110"/>
        <v>0</v>
      </c>
      <c r="S72" s="328">
        <f>+SUM(S70:S71)</f>
        <v>0</v>
      </c>
      <c r="T72" s="328">
        <f t="shared" ref="T72" si="112">+SUM(T70:T71)</f>
        <v>0</v>
      </c>
      <c r="U72" s="328">
        <f t="shared" ref="U72" si="113">+SUM(U70:U71)</f>
        <v>0</v>
      </c>
      <c r="V72" s="328">
        <f t="shared" ref="V72" si="114">+SUM(V70:V71)</f>
        <v>0</v>
      </c>
      <c r="W72" s="328">
        <f t="shared" ref="W72" si="115">+SUM(W70:W71)</f>
        <v>0</v>
      </c>
      <c r="X72" s="329">
        <f t="shared" ref="X72" si="116">+SUM(X70:X71)</f>
        <v>0</v>
      </c>
      <c r="Y72" s="151">
        <f t="shared" ref="Y72" si="117">+SUM(Y70:Y71)</f>
        <v>0</v>
      </c>
      <c r="Z72" s="146">
        <f t="shared" ref="Z72:AB72" si="118">+SUM(Z70:Z71)</f>
        <v>0</v>
      </c>
      <c r="AA72" s="146">
        <f t="shared" si="118"/>
        <v>0</v>
      </c>
      <c r="AB72" s="146">
        <f t="shared" si="118"/>
        <v>0</v>
      </c>
      <c r="AC72" s="147">
        <f t="shared" si="111"/>
        <v>0</v>
      </c>
      <c r="AF72" s="71"/>
      <c r="AG72" s="71"/>
      <c r="AH72" s="71"/>
      <c r="AI72" s="71"/>
      <c r="AJ72" s="71"/>
      <c r="AK72" s="71"/>
      <c r="AL72" s="71"/>
      <c r="AM72" s="71"/>
      <c r="AN72" s="71"/>
      <c r="AO72" s="71"/>
      <c r="AP72" s="71"/>
      <c r="AQ72" s="71"/>
      <c r="AR72" s="79"/>
      <c r="AS72" s="79"/>
    </row>
    <row r="73" spans="1:62" ht="14.25" customHeight="1" x14ac:dyDescent="0.2">
      <c r="N73" s="70"/>
      <c r="O73" s="85"/>
      <c r="P73" s="85"/>
      <c r="Q73" s="158" t="s">
        <v>77</v>
      </c>
      <c r="R73" s="327">
        <f t="shared" si="110"/>
        <v>0</v>
      </c>
      <c r="S73" s="328">
        <f>+SUMIF($O$52:$O$64,Lister!$D$29,C52:C64)+SUMIF($O$52:$O$64,Lister!$D$30,C52:C64)-SUMIFS(C52:C64,$O$52:$O$64,Lister!$D$29,$A$52:$A$64,Lister!$M$9)-SUMIFS(C52:C64,$O$52:$O$64,Lister!$D$30,$A$52:$A$64,Lister!$M$9)</f>
        <v>0</v>
      </c>
      <c r="T73" s="328">
        <f>+SUMIF($O$52:$O$64,Lister!$D$29,D52:D64)+SUMIF($O$52:$O$64,Lister!$D$30,D52:D64)-SUMIFS(D52:D64,$O$52:$O$64,Lister!$D$29,$A$52:$A$64,Lister!$M$9)-SUMIFS(D52:D64,$O$52:$O$64,Lister!$D$30,$A$52:$A$64,Lister!$M$9)</f>
        <v>0</v>
      </c>
      <c r="U73" s="328">
        <f>+SUMIF($O$52:$O$64,Lister!$D$29,E52:E64)+SUMIF($O$52:$O$64,Lister!$D$30,E52:E64)-SUMIFS(E52:E64,$O$52:$O$64,Lister!$D$29,$A$52:$A$64,Lister!$M$9)-SUMIFS(E52:E64,$O$52:$O$64,Lister!$D$30,$A$52:$A$64,Lister!$M$9)</f>
        <v>0</v>
      </c>
      <c r="V73" s="328">
        <f>+SUMIF($O$52:$O$64,Lister!$D$29,F52:F64)+SUMIF($O$52:$O$64,Lister!$D$30,F52:F64)-SUMIFS(F52:F64,$O$52:$O$64,Lister!$D$29,$A$52:$A$64,Lister!$M$9)-SUMIFS(F52:F64,$O$52:$O$64,Lister!$D$30,$A$52:$A$64,Lister!$M$9)</f>
        <v>0</v>
      </c>
      <c r="W73" s="328">
        <f>+SUMIF($O$52:$O$64,Lister!$D$29,G52:G64)+SUMIF($O$52:$O$64,Lister!$D$30,G52:G64)-SUMIFS(G52:G64,$O$52:$O$64,Lister!$D$29,$A$52:$A$64,Lister!$M$9)-SUMIFS(G52:G64,$O$52:$O$64,Lister!$D$30,$A$52:$A$64,Lister!$M$9)</f>
        <v>0</v>
      </c>
      <c r="X73" s="329">
        <f>+SUMIF($O$52:$O$64,Lister!$D$29,H52:H64)+SUMIF($O$52:$O$64,Lister!$D$30,H52:H64)-SUMIFS(H52:H64,$O$52:$O$64,Lister!$D$29,$A$52:$A$64,Lister!$M$9)-SUMIFS(H52:H64,$O$52:$O$64,Lister!$D$30,$A$52:$A$64,Lister!$M$9)</f>
        <v>0</v>
      </c>
      <c r="Y73" s="311">
        <f>+SUMIF($O$52:$O$64,Lister!$D$29,I52:I64)+SUMIF($O$52:$O$64,Lister!$D$30,I52:I64)-SUMIFS(I52:I64,$O$52:$O$64,Lister!$D$29,$A$52:$A$64,Lister!$M$9)-SUMIFS(I52:I64,$O$52:$O$64,Lister!$D$30,$A$52:$A$64,Lister!$M$9)</f>
        <v>0</v>
      </c>
      <c r="Z73" s="146">
        <f>+SUMIF($O$52:$O$64,Lister!$D$29,J52:J64)+SUMIF($O$52:$O$64,Lister!$D$30,J52:J64)-SUMIFS(J52:J64,$O$52:$O$64,Lister!$D$29,$A$52:$A$64,Lister!$M$9)-SUMIFS(J52:J64,$O$52:$O$64,Lister!$D$30,$A$52:$A$64,Lister!$M$9)</f>
        <v>0</v>
      </c>
      <c r="AA73" s="146">
        <f>+SUMIF($O$52:$O$64,Lister!$D$29,K52:K64)+SUMIF($O$52:$O$64,Lister!$D$30,K52:K64)-SUMIFS(K52:K64,$O$52:$O$64,Lister!$D$29,$A$52:$A$64,Lister!$M$9)-SUMIFS(K52:K64,$O$52:$O$64,Lister!$D$30,$A$52:$A$64,Lister!$M$9)</f>
        <v>0</v>
      </c>
      <c r="AB73" s="146">
        <f>+SUMIF($O$52:$O$64,Lister!$D$29,L52:L64)+SUMIF($O$52:$O$64,Lister!$D$30,L52:L64)-SUMIFS(L52:L64,$O$52:$O$64,Lister!$D$29,$A$52:$A$64,Lister!$M$9)-SUMIFS(L52:L64,$O$52:$O$64,Lister!$D$30,$A$52:$A$64,Lister!$M$9)</f>
        <v>0</v>
      </c>
      <c r="AC73" s="147">
        <f t="shared" si="111"/>
        <v>0</v>
      </c>
      <c r="AF73" s="70"/>
      <c r="AG73" s="70"/>
      <c r="AH73" s="70"/>
      <c r="AI73" s="70"/>
      <c r="AJ73" s="70"/>
      <c r="AK73" s="70"/>
      <c r="AL73" s="70"/>
      <c r="AM73" s="70"/>
      <c r="AN73" s="70"/>
      <c r="AO73" s="70"/>
      <c r="AP73" s="70"/>
      <c r="AQ73" s="70"/>
      <c r="AR73" s="70"/>
      <c r="AS73" s="70"/>
    </row>
    <row r="74" spans="1:62" s="9" customFormat="1" ht="14.25" customHeight="1" x14ac:dyDescent="0.2">
      <c r="N74" s="79"/>
      <c r="O74" s="90"/>
      <c r="P74" s="90"/>
      <c r="Q74" s="158" t="s">
        <v>78</v>
      </c>
      <c r="R74" s="327">
        <f t="shared" si="110"/>
        <v>0</v>
      </c>
      <c r="S74" s="328">
        <f>+S72+S73</f>
        <v>0</v>
      </c>
      <c r="T74" s="328">
        <f>+T72+T73</f>
        <v>0</v>
      </c>
      <c r="U74" s="328">
        <f>+U72+U73</f>
        <v>0</v>
      </c>
      <c r="V74" s="328">
        <f t="shared" ref="V74:Z74" si="119">+V72+V73</f>
        <v>0</v>
      </c>
      <c r="W74" s="328">
        <f t="shared" si="119"/>
        <v>0</v>
      </c>
      <c r="X74" s="329">
        <f t="shared" si="119"/>
        <v>0</v>
      </c>
      <c r="Y74" s="311">
        <f t="shared" si="119"/>
        <v>0</v>
      </c>
      <c r="Z74" s="146">
        <f t="shared" si="119"/>
        <v>0</v>
      </c>
      <c r="AA74" s="146">
        <f t="shared" ref="AA74:AB74" si="120">+AA72+AA73</f>
        <v>0</v>
      </c>
      <c r="AB74" s="146">
        <f t="shared" si="120"/>
        <v>0</v>
      </c>
      <c r="AC74" s="147">
        <f t="shared" si="111"/>
        <v>0</v>
      </c>
      <c r="AF74" s="79"/>
      <c r="AG74" s="79"/>
      <c r="AH74" s="79"/>
      <c r="AI74" s="79"/>
      <c r="AJ74" s="79"/>
      <c r="AK74" s="79"/>
      <c r="AL74" s="79"/>
      <c r="AM74" s="79"/>
      <c r="AN74" s="79"/>
      <c r="AO74" s="79"/>
      <c r="AP74" s="79"/>
      <c r="AQ74" s="79"/>
      <c r="AR74" s="71"/>
      <c r="AS74" s="71"/>
    </row>
    <row r="75" spans="1:62" ht="14.25" customHeight="1" x14ac:dyDescent="0.2">
      <c r="N75" s="70"/>
      <c r="O75" s="85"/>
      <c r="P75" s="85"/>
      <c r="Q75" s="159" t="s">
        <v>0</v>
      </c>
      <c r="R75" s="327">
        <f t="shared" si="110"/>
        <v>0</v>
      </c>
      <c r="S75" s="162">
        <f>IF(C12=2,S72*C6/100,IF($G$6=Lister!$D$4,(S72*$C$6)/100,IF($G$6=Lister!$D$5,(S74*$C$6)/100,IF($G$6=Lister!$D$6,(S74-SUMIFS(C52:C64,$O$52:$O$64,Lister!$D$29,$A$52:$A$64,Lister!$M$10)-SUMIFS(C52:C64,$O$52:$O$64,Lister!$D$30,$A$52:$A$64,Lister!$M$10)*$C$6)/100,IF($G$6=Lister!$D$7,(S73*$C$6)/100,0)))))</f>
        <v>0</v>
      </c>
      <c r="T75" s="340">
        <f>IF(D12=2,T72*D6/100,IF($G$6=Lister!$D$4,(T72*$C$6)/100,IF($G$6=Lister!$D$5,(T74*$C$6)/100,IF($G$6=Lister!$D$6,(T74-SUMIFS(D52:D64,$O$52:$O$64,Lister!$D$29,$A$52:$A$64,Lister!$M$10)-SUMIFS(D52:D64,$O$52:$O$64,Lister!$D$30,$A$52:$A$64,Lister!$M$10)*$C$6)/100,IF($G$6=Lister!$D$7,(T73*$C$6)/100,0)))))</f>
        <v>0</v>
      </c>
      <c r="U75" s="340">
        <f>IF(E12=2,U72*E6/100,IF($G$6=Lister!$D$4,(U72*$C$6)/100,IF($G$6=Lister!$D$5,(U74*$C$6)/100,IF($G$6=Lister!$D$6,(U74-SUMIFS(E52:E64,$O$52:$O$64,Lister!$D$29,$A$52:$A$64,Lister!$M$10)-SUMIFS(E52:E64,$O$52:$O$64,Lister!$D$30,$A$52:$A$64,Lister!$M$10)*$C$6)/100,IF($G$6=Lister!$D$7,(U73*$C$6)/100,0)))))</f>
        <v>0</v>
      </c>
      <c r="V75" s="340">
        <f>IF(F12=2,V72*F6/100,IF($G$6=Lister!$D$4,(V72*$C$6)/100,IF($G$6=Lister!$D$5,(V74*$C$6)/100,IF($G$6=Lister!$D$6,(V74-SUMIFS(F52:F64,$O$52:$O$64,Lister!$D$29,$A$52:$A$64,Lister!$M$10)-SUMIFS(F52:F64,$O$52:$O$64,Lister!$D$30,$A$52:$A$64,Lister!$M$10)*$C$6)/100,IF($G$6=Lister!$D$7,(V73*$C$6)/100,0)))))</f>
        <v>0</v>
      </c>
      <c r="W75" s="340">
        <f>IF(G12=2,W72*G6/100,IF($G$6=Lister!$D$4,(W72*$C$6)/100,IF($G$6=Lister!$D$5,(W74*$C$6)/100,IF($G$6=Lister!$D$6,(W74-SUMIFS(G52:G64,$O$52:$O$64,Lister!$D$29,$A$52:$A$64,Lister!$M$10)-SUMIFS(G52:G64,$O$52:$O$64,Lister!$D$30,$A$52:$A$64,Lister!$M$10)*$C$6)/100,IF($G$6=Lister!$D$7,(W73*$C$6)/100,0)))))</f>
        <v>0</v>
      </c>
      <c r="X75" s="341">
        <f>IF(H12=2,X72*H6/100,IF($G$6=Lister!$D$4,(X72*$C$6)/100,IF($G$6=Lister!$D$5,(X74*$C$6)/100,IF($G$6=Lister!$D$6,(X74-SUMIFS(H52:H64,$O$52:$O$64,Lister!$D$29,$A$52:$A$64,Lister!$M$10)-SUMIFS(H52:H64,$O$52:$O$64,Lister!$D$30,$A$52:$A$64,Lister!$M$10)*$C$6)/100,IF($G$6=Lister!$D$7,(X73*$C$6)/100,0)))))</f>
        <v>0</v>
      </c>
      <c r="Y75" s="216">
        <f>IF(I12=2,Y72*I6/100,IF($G$6=Lister!$D$4,(Y72*$C$6)/100,IF($G$6=Lister!$D$5,(Y74*$C$6)/100,IF($G$6=Lister!$D$6,(Y74-SUMIFS(I52:I64,$O$52:$O$64,Lister!$D$29,$A$52:$A$64,Lister!$M$10)-SUMIFS(I52:I64,$O$52:$O$64,Lister!$D$30,$A$52:$A$64,Lister!$M$10)*$C$6)/100,IF($G$6=Lister!$D$7,(Y73*$C$6)/100,0)))))</f>
        <v>0</v>
      </c>
      <c r="Z75" s="215">
        <f>IF(J12=2,Z72*J6/100,IF($G$6=Lister!$D$4,(Z72*$C$6)/100,IF($G$6=Lister!$D$5,(Z74*$C$6)/100,IF($G$6=Lister!$D$6,(Z74-SUMIFS(J52:J64,$O$52:$O$64,Lister!$D$29,$A$52:$A$64,Lister!$M$10)-SUMIFS(J52:J64,$O$52:$O$64,Lister!$D$30,$A$52:$A$64,Lister!$M$10)*$C$6)/100,IF($G$6=Lister!$D$7,(Z73*$C$6)/100,0)))))</f>
        <v>0</v>
      </c>
      <c r="AA75" s="215">
        <f>IF(K12=2,AA72*K6/100,IF($G$6=Lister!$D$4,(AA72*$C$6)/100,IF($G$6=Lister!$D$5,(AA74*$C$6)/100,IF($G$6=Lister!$D$6,(AA74-SUMIFS(K52:K64,$O$52:$O$64,Lister!$D$29,$A$52:$A$64,Lister!$M$10)-SUMIFS(K52:K64,$O$52:$O$64,Lister!$D$30,$A$52:$A$64,Lister!$M$10)*$C$6)/100,IF($G$6=Lister!$D$7,(AA73*$C$6)/100,0)))))</f>
        <v>0</v>
      </c>
      <c r="AB75" s="215">
        <f>IF(L12=2,AB72*L6/100,IF($G$6=Lister!$D$4,(AB72*$C$6)/100,IF($G$6=Lister!$D$5,(AB74*$C$6)/100,IF($G$6=Lister!$D$6,(AB74-SUMIFS(L52:L64,$O$52:$O$64,Lister!$D$29,$A$52:$A$64,Lister!$M$10)-SUMIFS(L52:L64,$O$52:$O$64,Lister!$D$30,$A$52:$A$64,Lister!$M$10)*$C$6)/100,IF($G$6=Lister!$D$7,(AB73*$C$6)/100,0)))))</f>
        <v>0</v>
      </c>
      <c r="AC75" s="147">
        <f t="shared" si="111"/>
        <v>0</v>
      </c>
      <c r="AF75" s="70"/>
      <c r="AG75" s="70"/>
      <c r="AH75" s="70"/>
      <c r="AI75" s="70"/>
      <c r="AJ75" s="70"/>
      <c r="AK75" s="70"/>
      <c r="AL75" s="70"/>
      <c r="AM75" s="70"/>
      <c r="AN75" s="70"/>
      <c r="AO75" s="70"/>
      <c r="AP75" s="70"/>
      <c r="AQ75" s="70"/>
      <c r="AR75" s="70"/>
      <c r="AS75" s="70"/>
    </row>
    <row r="76" spans="1:62" s="9" customFormat="1" ht="14.25" customHeight="1" x14ac:dyDescent="0.2">
      <c r="N76" s="71"/>
      <c r="O76" s="87"/>
      <c r="P76" s="87"/>
      <c r="Q76" s="160" t="s">
        <v>103</v>
      </c>
      <c r="R76" s="327">
        <f t="shared" si="110"/>
        <v>0</v>
      </c>
      <c r="S76" s="162">
        <f>+IF($C$8=Lister!$O$5,(SUMIF($O$20:$O$29,Lister!D29,C20:C29)+SUMIF($O$20:$O$29,Lister!D30,C20:C29))*Takstblad!C$81,0)</f>
        <v>0</v>
      </c>
      <c r="T76" s="162">
        <f>+IF($C$8=Lister!$O$5,(SUMIF($O$20:$O$29,Lister!E27,D20:D29)+SUMIF($O$20:$O$29,Lister!E28,D20:D29))*Takstblad!D$81,0)</f>
        <v>0</v>
      </c>
      <c r="U76" s="162">
        <f>+IF($C$8=Lister!$O$5,(SUMIF($O$20:$O$29,Lister!F27,E20:E29)+SUMIF($O$20:$O$29,Lister!F28,E20:E29))*Takstblad!E$81,0)</f>
        <v>0</v>
      </c>
      <c r="V76" s="162">
        <f>+IF($C$8=Lister!$O$5,(SUMIF($O$20:$O$29,Lister!G27,F20:F29)+SUMIF($O$20:$O$29,Lister!G28,F20:F29))*Takstblad!F$81,0)</f>
        <v>0</v>
      </c>
      <c r="W76" s="162">
        <f>+IF($C$8=Lister!$O$5,(SUMIF($O$20:$O$29,Lister!H27,G20:G29)+SUMIF($O$20:$O$29,Lister!H28,G20:G29))*Takstblad!G$81,0)</f>
        <v>0</v>
      </c>
      <c r="X76" s="315">
        <f>+IF($C$8=Lister!$O$5,(SUMIF($O$20:$O$29,Lister!I27,H20:H29)+SUMIF($O$20:$O$29,Lister!I28,H20:H29))*Takstblad!H$81,0)</f>
        <v>0</v>
      </c>
      <c r="Y76" s="119">
        <f>+IF($C$8=Lister!$O$5,(SUMIF($O$20:$O$29,Lister!J27,I20:I29)+SUMIF($O$20:$O$29,Lister!J28,I20:I29))*Takstblad!I$81,0)</f>
        <v>0</v>
      </c>
      <c r="Z76" s="21">
        <f>+IF($C$8=Lister!$O$5,(SUMIF($O$20:$O$29,Lister!K27,J20:J29)+SUMIF($O$20:$O$29,Lister!K28,J20:J29))*Takstblad!J$81,0)</f>
        <v>0</v>
      </c>
      <c r="AA76" s="21">
        <f>+IF($C$8=Lister!$O$5,(SUMIF($O$20:$O$29,Lister!L27,K20:K29)+SUMIF($O$20:$O$29,Lister!L28,K20:K29))*Takstblad!K$81,0)</f>
        <v>0</v>
      </c>
      <c r="AB76" s="21">
        <f>+IF($C$8=Lister!$O$5,(SUMIF($O$20:$O$29,Lister!M27,L20:L29)+SUMIF($O$20:$O$29,Lister!M28,L20:L29))*Takstblad!L$81,0)</f>
        <v>0</v>
      </c>
      <c r="AC76" s="147">
        <f t="shared" si="111"/>
        <v>0</v>
      </c>
      <c r="AF76" s="71"/>
      <c r="AG76" s="71"/>
      <c r="AH76" s="71"/>
      <c r="AI76" s="71"/>
      <c r="AJ76" s="71"/>
      <c r="AK76" s="71"/>
      <c r="AL76" s="71"/>
      <c r="AM76" s="71"/>
      <c r="AN76" s="71"/>
      <c r="AO76" s="71"/>
      <c r="AP76" s="71"/>
      <c r="AQ76" s="71"/>
      <c r="AR76" s="71"/>
      <c r="AS76" s="71"/>
    </row>
    <row r="77" spans="1:62" s="9" customFormat="1" ht="14.25" customHeight="1" x14ac:dyDescent="0.2">
      <c r="N77" s="70"/>
      <c r="O77" s="85"/>
      <c r="P77" s="85"/>
      <c r="Q77" s="160" t="s">
        <v>108</v>
      </c>
      <c r="R77" s="327">
        <f t="shared" si="110"/>
        <v>0</v>
      </c>
      <c r="S7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$29,$A$20:$A$29,Lister!$A$21)+SUMIFS(C20:C29,$O$20:$O$29,Lister!$D$29,$A$20:$A$29,Lister!$A$29)+SUMIFS(C20:C29,$O$20:$O$29,Lister!$D$29,$A$20:$A$29,Lister!$A$30)+SUMIFS(C20:C29,$O$20:$O$29,Lister!$D$29,$A$20:$A$29,Lister!$A$22)+SUMIFS(C20:C29,$O$20:$O$29,Lister!$D$29,$A$20:$A$29,Lister!$A$23)+SUMIFS(C20:C29,$O$20:$O$29,Lister!$D$29,$A$20:$A$29,Lister!$A$20))/12)*Takstblad!C$82,0)</f>
        <v>0</v>
      </c>
      <c r="T7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$29,$A$20:$A$29,Lister!$A$21)+SUMIFS(D20:D29,$O$20:$O$29,Lister!$D$29,$A$20:$A$29,Lister!$A$29)+SUMIFS(D20:D29,$O$20:$O$29,Lister!$D$29,$A$20:$A$29,Lister!$A$30)+SUMIFS(D20:D29,$O$20:$O$29,Lister!$D$29,$A$20:$A$29,Lister!$A$22)+SUMIFS(D20:D29,$O$20:$O$29,Lister!$D$29,$A$20:$A$29,Lister!$A$23)+SUMIFS(D20:D29,$O$20:$O$29,Lister!$D$29,$A$20:$A$29,Lister!$A$20))/12)*Takstblad!D$82,0)</f>
        <v>0</v>
      </c>
      <c r="U7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$29,$A$20:$A$29,Lister!$A$21)+SUMIFS(E20:E29,$O$20:$O$29,Lister!$D$29,$A$20:$A$29,Lister!$A$29)+SUMIFS(E20:E29,$O$20:$O$29,Lister!$D$29,$A$20:$A$29,Lister!$A$30)+SUMIFS(E20:E29,$O$20:$O$29,Lister!$D$29,$A$20:$A$29,Lister!$A$22)+SUMIFS(E20:E29,$O$20:$O$29,Lister!$D$29,$A$20:$A$29,Lister!$A$23)+SUMIFS(E20:E29,$O$20:$O$29,Lister!$D$29,$A$20:$A$29,Lister!$A$20))/12)*Takstblad!E$82,0)</f>
        <v>0</v>
      </c>
      <c r="V7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$29,$A$20:$A$29,Lister!$A$21)+SUMIFS(F20:F29,$O$20:$O$29,Lister!$D$29,$A$20:$A$29,Lister!$A$29)+SUMIFS(F20:F29,$O$20:$O$29,Lister!$D$29,$A$20:$A$29,Lister!$A$30)+SUMIFS(F20:F29,$O$20:$O$29,Lister!$D$29,$A$20:$A$29,Lister!$A$22)+SUMIFS(F20:F29,$O$20:$O$29,Lister!$D$29,$A$20:$A$29,Lister!$A$23)+SUMIFS(F20:F29,$O$20:$O$29,Lister!$D$29,$A$20:$A$29,Lister!$A$20))/12)*Takstblad!F$82,0)</f>
        <v>0</v>
      </c>
      <c r="W7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$29,$A$20:$A$29,Lister!$A$21)+SUMIFS(G20:G29,$O$20:$O$29,Lister!$D$29,$A$20:$A$29,Lister!$A$29)+SUMIFS(G20:G29,$O$20:$O$29,Lister!$D$29,$A$20:$A$29,Lister!$A$30)+SUMIFS(G20:G29,$O$20:$O$29,Lister!$D$29,$A$20:$A$29,Lister!$A$22)+SUMIFS(G20:G29,$O$20:$O$29,Lister!$D$29,$A$20:$A$29,Lister!$A$23)+SUMIFS(G20:G29,$O$20:$O$29,Lister!$D$29,$A$20:$A$29,Lister!$A$20))/12)*Takstblad!G$82,0)</f>
        <v>0</v>
      </c>
      <c r="X77"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$29,$A$20:$A$29,Lister!$A$21)+SUMIFS(H20:H29,$O$20:$O$29,Lister!$D$29,$A$20:$A$29,Lister!$A$29)+SUMIFS(H20:H29,$O$20:$O$29,Lister!$D$29,$A$20:$A$29,Lister!$A$30)+SUMIFS(H20:H29,$O$20:$O$29,Lister!$D$29,$A$20:$A$29,Lister!$A$22)+SUMIFS(H20:H29,$O$20:$O$29,Lister!$D$29,$A$20:$A$29,Lister!$A$23)+SUMIFS(H20:H29,$O$20:$O$29,Lister!$D$29,$A$20:$A$29,Lister!$A$20))/12)*Takstblad!H$82,0)</f>
        <v>0</v>
      </c>
      <c r="Y7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$29,$A$20:$A$29,Lister!$A$21)+SUMIFS(I20:I29,$O$20:$O$29,Lister!$D$29,$A$20:$A$29,Lister!$A$29)+SUMIFS(I20:I29,$O$20:$O$29,Lister!$D$29,$A$20:$A$29,Lister!$A$30)+SUMIFS(I20:I29,$O$20:$O$29,Lister!$D$29,$A$20:$A$29,Lister!$A$22)+SUMIFS(I20:I29,$O$20:$O$29,Lister!$D$29,$A$20:$A$29,Lister!$A$23)+SUMIFS(I20:I29,$O$20:$O$29,Lister!$D$29,$A$20:$A$29,Lister!$A$20))/12)*Takstblad!I$82,0)</f>
        <v>0</v>
      </c>
      <c r="Z7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$29,$A$20:$A$29,Lister!$A$21)+SUMIFS(J20:J29,$O$20:$O$29,Lister!$D$29,$A$20:$A$29,Lister!$A$29)+SUMIFS(J20:J29,$O$20:$O$29,Lister!$D$29,$A$20:$A$29,Lister!$A$30)+SUMIFS(J20:J29,$O$20:$O$29,Lister!$D$29,$A$20:$A$29,Lister!$A$22)+SUMIFS(J20:J29,$O$20:$O$29,Lister!$D$29,$A$20:$A$29,Lister!$A$23)+SUMIFS(J20:J29,$O$20:$O$29,Lister!$D$29,$A$20:$A$29,Lister!$A$20))/12)*Takstblad!J$82,0)</f>
        <v>0</v>
      </c>
      <c r="AA7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$29,$A$20:$A$29,Lister!$A$21)+SUMIFS(K20:K29,$O$20:$O$29,Lister!$D$29,$A$20:$A$29,Lister!$A$29)+SUMIFS(K20:K29,$O$20:$O$29,Lister!$D$29,$A$20:$A$29,Lister!$A$30)+SUMIFS(K20:K29,$O$20:$O$29,Lister!$D$29,$A$20:$A$29,Lister!$A$22)+SUMIFS(K20:K29,$O$20:$O$29,Lister!$D$29,$A$20:$A$29,Lister!$A$23)+SUMIFS(K20:K29,$O$20:$O$29,Lister!$D$29,$A$20:$A$29,Lister!$A$20))/12)*Takstblad!K$82,0)</f>
        <v>0</v>
      </c>
      <c r="AB7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$29,$A$20:$A$29,Lister!$A$21)+SUMIFS(L20:L29,$O$20:$O$29,Lister!$D$29,$A$20:$A$29,Lister!$A$29)+SUMIFS(L20:L29,$O$20:$O$29,Lister!$D$29,$A$20:$A$29,Lister!$A$30)+SUMIFS(L20:L29,$O$20:$O$29,Lister!$D$29,$A$20:$A$29,Lister!$A$22)+SUMIFS(L20:L29,$O$20:$O$29,Lister!$D$29,$A$20:$A$29,Lister!$A$23)+SUMIFS(L20:L29,$O$20:$O$29,Lister!$D$29,$A$20:$A$29,Lister!$A$20))/12)*Takstblad!L$82,0)</f>
        <v>0</v>
      </c>
      <c r="AC77" s="147">
        <f t="shared" si="111"/>
        <v>0</v>
      </c>
      <c r="AF77" s="70"/>
      <c r="AG77" s="70"/>
      <c r="AH77" s="70"/>
      <c r="AI77" s="70"/>
      <c r="AJ77" s="70"/>
      <c r="AK77" s="70"/>
      <c r="AL77" s="70"/>
      <c r="AM77" s="70"/>
      <c r="AN77" s="70"/>
      <c r="AO77" s="70"/>
      <c r="AP77" s="70"/>
      <c r="AQ77" s="70"/>
      <c r="AR77" s="71"/>
      <c r="AS77" s="71"/>
    </row>
    <row r="78" spans="1:62" ht="14.25" customHeight="1" x14ac:dyDescent="0.2">
      <c r="N78" s="71"/>
      <c r="O78" s="87"/>
      <c r="P78" s="87"/>
      <c r="Q78" s="159" t="s">
        <v>545</v>
      </c>
      <c r="R78" s="327">
        <f t="shared" si="110"/>
        <v>0</v>
      </c>
      <c r="S78" s="162" t="str">
        <f>IF($C$12=2,(SUM(S74:S77)*$C$13)/100,"0")</f>
        <v>0</v>
      </c>
      <c r="T78" s="234" t="str">
        <f t="shared" ref="T78:Z78" si="121">IF($C$12=2,(SUM(T74:T77)*$C$13)/100,"0")</f>
        <v>0</v>
      </c>
      <c r="U78" s="234" t="str">
        <f t="shared" si="121"/>
        <v>0</v>
      </c>
      <c r="V78" s="234" t="str">
        <f t="shared" si="121"/>
        <v>0</v>
      </c>
      <c r="W78" s="234" t="str">
        <f t="shared" si="121"/>
        <v>0</v>
      </c>
      <c r="X78" s="321" t="str">
        <f t="shared" si="121"/>
        <v>0</v>
      </c>
      <c r="Y78" s="235" t="str">
        <f t="shared" si="121"/>
        <v>0</v>
      </c>
      <c r="Z78" s="234" t="str">
        <f t="shared" si="121"/>
        <v>0</v>
      </c>
      <c r="AA78" s="234" t="str">
        <f t="shared" ref="AA78:AB78" si="122">IF($C$12=2,(SUM(AA74:AA77)*$C$13)/100,"0")</f>
        <v>0</v>
      </c>
      <c r="AB78" s="234" t="str">
        <f t="shared" si="122"/>
        <v>0</v>
      </c>
      <c r="AC78" s="147">
        <f t="shared" si="111"/>
        <v>0</v>
      </c>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row>
    <row r="79" spans="1:62" ht="14.25" customHeight="1" x14ac:dyDescent="0.2">
      <c r="N79" s="80"/>
      <c r="O79" s="91"/>
      <c r="P79" s="91"/>
      <c r="Q79" s="158" t="s">
        <v>101</v>
      </c>
      <c r="R79" s="327">
        <f t="shared" si="110"/>
        <v>0</v>
      </c>
      <c r="S79" s="328">
        <f>+SUM(S74:S78)</f>
        <v>0</v>
      </c>
      <c r="T79" s="328">
        <f t="shared" ref="T79:Z79" si="123">+SUM(T74:T78)</f>
        <v>0</v>
      </c>
      <c r="U79" s="328">
        <f t="shared" si="123"/>
        <v>0</v>
      </c>
      <c r="V79" s="328">
        <f t="shared" si="123"/>
        <v>0</v>
      </c>
      <c r="W79" s="328">
        <f t="shared" si="123"/>
        <v>0</v>
      </c>
      <c r="X79" s="329">
        <f t="shared" si="123"/>
        <v>0</v>
      </c>
      <c r="Y79" s="311">
        <f t="shared" si="123"/>
        <v>0</v>
      </c>
      <c r="Z79" s="146">
        <f t="shared" si="123"/>
        <v>0</v>
      </c>
      <c r="AA79" s="146">
        <f t="shared" ref="AA79:AB79" si="124">+SUM(AA74:AA78)</f>
        <v>0</v>
      </c>
      <c r="AB79" s="146">
        <f t="shared" si="124"/>
        <v>0</v>
      </c>
      <c r="AC79" s="147">
        <f t="shared" si="111"/>
        <v>0</v>
      </c>
      <c r="AF79" s="70"/>
      <c r="AG79" s="70"/>
      <c r="AH79" s="70"/>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row>
    <row r="80" spans="1:62" ht="14.25" customHeight="1" x14ac:dyDescent="0.2">
      <c r="N80" s="81"/>
      <c r="O80" s="92"/>
      <c r="P80" s="92"/>
      <c r="Q80" s="141"/>
      <c r="R80" s="135"/>
      <c r="S80" s="16"/>
      <c r="T80" s="125"/>
      <c r="U80" s="125"/>
      <c r="V80" s="125"/>
      <c r="W80" s="125"/>
      <c r="X80" s="322"/>
      <c r="Y80" s="125"/>
      <c r="Z80" s="125"/>
      <c r="AA80" s="125"/>
      <c r="AB80" s="125"/>
      <c r="AC80" s="135"/>
      <c r="AF80" s="71"/>
      <c r="AG80" s="71"/>
      <c r="AH80" s="71"/>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row>
    <row r="81" spans="1:62" s="9" customFormat="1" ht="14.25" customHeight="1" x14ac:dyDescent="0.25">
      <c r="N81" s="81"/>
      <c r="O81" s="92"/>
      <c r="P81" s="92"/>
      <c r="Q81" s="139" t="s">
        <v>606</v>
      </c>
      <c r="R81" s="140"/>
      <c r="S81" s="241"/>
      <c r="T81" s="145"/>
      <c r="U81" s="145"/>
      <c r="V81" s="145"/>
      <c r="W81" s="145"/>
      <c r="X81" s="320"/>
      <c r="Y81" s="145"/>
      <c r="Z81" s="145"/>
      <c r="AA81" s="145"/>
      <c r="AB81" s="145"/>
      <c r="AC81" s="140"/>
      <c r="AF81" s="71"/>
      <c r="AG81" s="71"/>
      <c r="AH81" s="71"/>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row>
    <row r="82" spans="1:62" s="9" customFormat="1" ht="14.25" customHeight="1" x14ac:dyDescent="0.25">
      <c r="N82" s="70"/>
      <c r="O82" s="85"/>
      <c r="P82" s="85"/>
      <c r="Q82" s="143"/>
      <c r="R82" s="142"/>
      <c r="S82" s="16"/>
      <c r="T82" s="76"/>
      <c r="U82" s="76"/>
      <c r="V82" s="76"/>
      <c r="W82" s="76"/>
      <c r="X82" s="142"/>
      <c r="Y82" s="76"/>
      <c r="Z82" s="76"/>
      <c r="AA82" s="76"/>
      <c r="AB82" s="76"/>
      <c r="AC82" s="142"/>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row>
    <row r="83" spans="1:62" s="9" customFormat="1" ht="14.25" customHeight="1" x14ac:dyDescent="0.2">
      <c r="A83" s="23"/>
      <c r="B83" s="16"/>
      <c r="C83" s="16"/>
      <c r="D83" s="71"/>
      <c r="E83" s="71"/>
      <c r="F83" s="71"/>
      <c r="G83" s="71"/>
      <c r="H83" s="71"/>
      <c r="I83" s="71"/>
      <c r="J83" s="71"/>
      <c r="K83" s="71"/>
      <c r="L83" s="71"/>
      <c r="M83" s="71"/>
      <c r="N83" s="71"/>
      <c r="O83" s="87"/>
      <c r="P83" s="87"/>
      <c r="Q83" s="161" t="s">
        <v>22</v>
      </c>
      <c r="R83" s="133" t="s">
        <v>34</v>
      </c>
      <c r="S83" s="45">
        <f>+S69</f>
        <v>2025</v>
      </c>
      <c r="T83" s="8">
        <f t="shared" ref="T83:Z83" si="125">+T69</f>
        <v>2026</v>
      </c>
      <c r="U83" s="8">
        <f t="shared" si="125"/>
        <v>2027</v>
      </c>
      <c r="V83" s="8">
        <f t="shared" si="125"/>
        <v>2028</v>
      </c>
      <c r="W83" s="8">
        <f t="shared" si="125"/>
        <v>2029</v>
      </c>
      <c r="X83" s="133">
        <f t="shared" si="125"/>
        <v>2030</v>
      </c>
      <c r="Y83" s="8">
        <f t="shared" si="125"/>
        <v>2031</v>
      </c>
      <c r="Z83" s="8">
        <f t="shared" si="125"/>
        <v>2032</v>
      </c>
      <c r="AA83" s="8">
        <f t="shared" ref="AA83:AB83" si="126">+AA69</f>
        <v>2033</v>
      </c>
      <c r="AB83" s="8">
        <f t="shared" si="126"/>
        <v>2034</v>
      </c>
      <c r="AC83" s="133" t="s">
        <v>34</v>
      </c>
      <c r="AF83" s="70"/>
      <c r="AG83" s="70"/>
      <c r="AH83" s="70"/>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62" s="9" customFormat="1" ht="14.25" customHeight="1" x14ac:dyDescent="0.2">
      <c r="N84" s="71"/>
      <c r="O84" s="87"/>
      <c r="P84" s="87"/>
      <c r="Q84" s="156" t="s">
        <v>74</v>
      </c>
      <c r="R84" s="330">
        <f t="shared" ref="R84:R93" si="127">+AC84</f>
        <v>0</v>
      </c>
      <c r="S84" s="331">
        <f>+SUMIF($O$20:$O$29,Lister!$D$31,S20:S29)+SUMIF($O$20:$O$29,Lister!$D$32,S20:S29)</f>
        <v>0</v>
      </c>
      <c r="T84" s="334">
        <f>+SUMIF($O$20:$O$29,Lister!$D$31,T20:T29)+SUMIF($O$20:$O$29,Lister!$D$32,T20:T29)</f>
        <v>0</v>
      </c>
      <c r="U84" s="331">
        <f>+SUMIF($O$20:$O$29,Lister!$D$31,U20:U29)+SUMIF($O$20:$O$29,Lister!$D$32,U20:U29)</f>
        <v>0</v>
      </c>
      <c r="V84" s="334">
        <f>+SUMIF($O$20:$O$29,Lister!$D$31,V20:V29)+SUMIF($O$20:$O$29,Lister!$D$32,V20:V29)</f>
        <v>0</v>
      </c>
      <c r="W84" s="331">
        <f>+SUMIF($O$20:$O$29,Lister!$D$31,W20:W29)+SUMIF($O$20:$O$29,Lister!$D$32,W20:W29)</f>
        <v>0</v>
      </c>
      <c r="X84" s="335">
        <f>+SUMIF($O$20:$O$29,Lister!$D$31,X20:X29)+SUMIF($O$20:$O$29,Lister!$D$32,X20:X29)</f>
        <v>0</v>
      </c>
      <c r="Y84" s="309">
        <f>+SUMIF($O$20:$O$29,Lister!$D$31,Y20:Y29)+SUMIF($O$20:$O$29,Lister!$D$32,Y20:Y29)</f>
        <v>0</v>
      </c>
      <c r="Z84" s="28">
        <f>+SUMIF($O$20:$O$29,Lister!$D$31,Z20:Z29)+SUMIF($O$20:$O$29,Lister!$D$32,Z20:Z29)</f>
        <v>0</v>
      </c>
      <c r="AA84" s="28">
        <f>+SUMIF($O$20:$O$29,Lister!$D$31,AA20:AA29)+SUMIF($O$20:$O$29,Lister!$D$32,AA20:AA29)</f>
        <v>0</v>
      </c>
      <c r="AB84" s="28">
        <f>+SUMIF($O$20:$O$29,Lister!$D$31,AB20:AB29)+SUMIF($O$20:$O$29,Lister!$D$32,AB20:AB29)</f>
        <v>0</v>
      </c>
      <c r="AC84" s="149">
        <f>SUM(S84:AB84)</f>
        <v>0</v>
      </c>
      <c r="AF84" s="70"/>
      <c r="AG84" s="70"/>
      <c r="AH84" s="70"/>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row>
    <row r="85" spans="1:62" s="9" customFormat="1" ht="14.25" customHeight="1" x14ac:dyDescent="0.2">
      <c r="N85" s="71"/>
      <c r="O85" s="87"/>
      <c r="P85" s="87"/>
      <c r="Q85" s="157" t="s">
        <v>75</v>
      </c>
      <c r="R85" s="324">
        <f t="shared" si="127"/>
        <v>0</v>
      </c>
      <c r="S85" s="325">
        <f>+SUMIF($O$33:$O$45,Lister!$D$31,S33:S45)+SUMIF($O$33:$O$45,Lister!$D$32,S33:S45)</f>
        <v>0</v>
      </c>
      <c r="T85" s="336">
        <f>+SUMIF($O$33:$O$45,Lister!$D$31,T33:T45)+SUMIF($O$33:$O$45,Lister!$D$32,T33:T45)</f>
        <v>0</v>
      </c>
      <c r="U85" s="325">
        <f>+SUMIF($O$33:$O$45,Lister!$D$31,U33:U45)+SUMIF($O$33:$O$45,Lister!$D$32,U33:U45)</f>
        <v>0</v>
      </c>
      <c r="V85" s="336">
        <f>+SUMIF($O$33:$O$45,Lister!$D$31,V33:V45)+SUMIF($O$33:$O$45,Lister!$D$32,V33:V45)</f>
        <v>0</v>
      </c>
      <c r="W85" s="325">
        <f>+SUMIF($O$33:$O$45,Lister!$D$31,W33:W45)+SUMIF($O$33:$O$45,Lister!$D$32,W33:W45)</f>
        <v>0</v>
      </c>
      <c r="X85" s="337">
        <f>+SUMIF($O$33:$O$45,Lister!$D$31,X33:X45)+SUMIF($O$33:$O$45,Lister!$D$32,X33:X45)</f>
        <v>0</v>
      </c>
      <c r="Y85" s="310">
        <f>+SUMIF($O$33:$O$45,Lister!$D$31,Y33:Y45)+SUMIF($O$33:$O$45,Lister!$D$32,Y33:Y45)</f>
        <v>0</v>
      </c>
      <c r="Z85" s="122">
        <f>+SUMIF($O$33:$O$45,Lister!$D$31,Z33:Z45)+SUMIF($O$33:$O$45,Lister!$D$32,Z33:Z45)</f>
        <v>0</v>
      </c>
      <c r="AA85" s="122">
        <f>+SUMIF($O$33:$O$45,Lister!$D$31,AA33:AA45)+SUMIF($O$33:$O$45,Lister!$D$32,AA33:AA45)</f>
        <v>0</v>
      </c>
      <c r="AB85" s="122">
        <f>+SUMIF($O$33:$O$45,Lister!$D$31,AB33:AB45)+SUMIF($O$33:$O$45,Lister!$D$32,AB33:AB45)</f>
        <v>0</v>
      </c>
      <c r="AC85" s="150">
        <f t="shared" ref="AC85:AC93" si="128">SUM(S85:AB85)</f>
        <v>0</v>
      </c>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row>
    <row r="86" spans="1:62" ht="14.25" customHeight="1" x14ac:dyDescent="0.2">
      <c r="N86" s="71"/>
      <c r="O86" s="87"/>
      <c r="P86" s="87"/>
      <c r="Q86" s="158" t="s">
        <v>76</v>
      </c>
      <c r="R86" s="327">
        <f t="shared" si="127"/>
        <v>0</v>
      </c>
      <c r="S86" s="328">
        <f>+SUM(S84:S85)</f>
        <v>0</v>
      </c>
      <c r="T86" s="328">
        <f t="shared" ref="T86" si="129">+SUM(T84:T85)</f>
        <v>0</v>
      </c>
      <c r="U86" s="328">
        <f t="shared" ref="U86:Z86" si="130">+SUM(U84:U85)</f>
        <v>0</v>
      </c>
      <c r="V86" s="328">
        <f t="shared" si="130"/>
        <v>0</v>
      </c>
      <c r="W86" s="328">
        <f t="shared" si="130"/>
        <v>0</v>
      </c>
      <c r="X86" s="329">
        <f t="shared" si="130"/>
        <v>0</v>
      </c>
      <c r="Y86" s="151">
        <f t="shared" si="130"/>
        <v>0</v>
      </c>
      <c r="Z86" s="146">
        <f t="shared" si="130"/>
        <v>0</v>
      </c>
      <c r="AA86" s="146">
        <f t="shared" ref="AA86:AB86" si="131">+SUM(AA84:AA85)</f>
        <v>0</v>
      </c>
      <c r="AB86" s="146">
        <f t="shared" si="131"/>
        <v>0</v>
      </c>
      <c r="AC86" s="147">
        <f t="shared" si="128"/>
        <v>0</v>
      </c>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row>
    <row r="87" spans="1:62" s="14" customFormat="1" ht="14.25" customHeight="1" x14ac:dyDescent="0.2">
      <c r="N87" s="71"/>
      <c r="O87" s="87"/>
      <c r="P87" s="87"/>
      <c r="Q87" s="158" t="s">
        <v>77</v>
      </c>
      <c r="R87" s="327">
        <f t="shared" si="127"/>
        <v>0</v>
      </c>
      <c r="S87" s="328">
        <f>+SUMIF($O$52:$O$64,Lister!$D$31,C52:C64)+SUMIF($O$52:$O$64,Lister!$D$32,C52:C64)-SUMIFS(C52:C64,$O$52:$O$64,Lister!$D$31,$A$52:$A$64,Lister!$M$9)-SUMIFS(C52:C64,$O$52:$O$64,Lister!$D$32,$A$52:$A$64,Lister!$M$9)</f>
        <v>0</v>
      </c>
      <c r="T87" s="344">
        <f>+SUMIF($O$52:$O$64,Lister!$D$31,D52:D64)+SUMIF($O$52:$O$64,Lister!$D$32,D52:D64)-SUMIFS(D52:D64,$O$52:$O$64,Lister!$D$31,$A$52:$A$64,Lister!$M$9)-SUMIFS(D52:D64,$O$52:$O$64,Lister!$D$32,$A$52:$A$64,Lister!$M$9)</f>
        <v>0</v>
      </c>
      <c r="U87" s="344">
        <f>+SUMIF($O$52:$O$64,Lister!$D$31,E52:E64)+SUMIF($O$52:$O$64,Lister!$D$32,E52:E64)-SUMIFS(E52:E64,$O$52:$O$64,Lister!$D$31,$A$52:$A$64,Lister!$M$9)-SUMIFS(E52:E64,$O$52:$O$64,Lister!$D$32,$A$52:$A$64,Lister!$M$9)</f>
        <v>0</v>
      </c>
      <c r="V87" s="344">
        <f>+SUMIF($O$52:$O$64,Lister!$D$31,F52:F64)+SUMIF($O$52:$O$64,Lister!$D$32,F52:F64)-SUMIFS(F52:F64,$O$52:$O$64,Lister!$D$31,$A$52:$A$64,Lister!$M$9)-SUMIFS(F52:F64,$O$52:$O$64,Lister!$D$32,$A$52:$A$64,Lister!$M$9)</f>
        <v>0</v>
      </c>
      <c r="W87" s="344">
        <f>+SUMIF($O$52:$O$64,Lister!$D$31,G52:G64)+SUMIF($O$52:$O$64,Lister!$D$32,G52:G64)-SUMIFS(G52:G64,$O$52:$O$64,Lister!$D$31,$A$52:$A$64,Lister!$M$9)-SUMIFS(G52:G64,$O$52:$O$64,Lister!$D$32,$A$52:$A$64,Lister!$M$9)</f>
        <v>0</v>
      </c>
      <c r="X87" s="345">
        <f>+SUMIF($O$52:$O$64,Lister!$D$31,H52:H64)+SUMIF($O$52:$O$64,Lister!$D$32,H52:H64)-SUMIFS(H52:H64,$O$52:$O$64,Lister!$D$31,$A$52:$A$64,Lister!$M$9)-SUMIFS(H52:H64,$O$52:$O$64,Lister!$D$32,$A$52:$A$64,Lister!$M$9)</f>
        <v>0</v>
      </c>
      <c r="Y87" s="220">
        <f>+SUMIF($O$52:$O$64,Lister!$D$31,I52:I64)+SUMIF($O$52:$O$64,Lister!$D$32,I52:I64)-SUMIFS(I52:I64,$O$52:$O$64,Lister!$D$31,$A$52:$A$64,Lister!$M$9)-SUMIFS(I52:I64,$O$52:$O$64,Lister!$D$32,$A$52:$A$64,Lister!$M$9)</f>
        <v>0</v>
      </c>
      <c r="Z87" s="219">
        <f>+SUMIF($O$52:$O$64,Lister!$D$31,J52:J64)+SUMIF($O$52:$O$64,Lister!$D$32,J52:J64)-SUMIFS(J52:J64,$O$52:$O$64,Lister!$D$31,$A$52:$A$64,Lister!$M$9)-SUMIFS(J52:J64,$O$52:$O$64,Lister!$D$32,$A$52:$A$64,Lister!$M$9)</f>
        <v>0</v>
      </c>
      <c r="AA87" s="219">
        <f>+SUMIF($O$52:$O$64,Lister!$D$31,K52:K64)+SUMIF($O$52:$O$64,Lister!$D$32,K52:K64)-SUMIFS(K52:K64,$O$52:$O$64,Lister!$D$31,$A$52:$A$64,Lister!$M$9)-SUMIFS(K52:K64,$O$52:$O$64,Lister!$D$32,$A$52:$A$64,Lister!$M$9)</f>
        <v>0</v>
      </c>
      <c r="AB87" s="219">
        <f>+SUMIF($O$52:$O$64,Lister!$D$31,L52:L64)+SUMIF($O$52:$O$64,Lister!$D$32,L52:L64)-SUMIFS(L52:L64,$O$52:$O$64,Lister!$D$31,$A$52:$A$64,Lister!$M$9)-SUMIFS(L52:L64,$O$52:$O$64,Lister!$D$32,$A$52:$A$64,Lister!$M$9)</f>
        <v>0</v>
      </c>
      <c r="AC87" s="147">
        <f t="shared" si="128"/>
        <v>0</v>
      </c>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row>
    <row r="88" spans="1:62" s="9" customFormat="1" ht="14.25" customHeight="1" x14ac:dyDescent="0.2">
      <c r="N88" s="70"/>
      <c r="O88" s="85"/>
      <c r="P88" s="85"/>
      <c r="Q88" s="158" t="s">
        <v>78</v>
      </c>
      <c r="R88" s="327">
        <f t="shared" si="127"/>
        <v>0</v>
      </c>
      <c r="S88" s="328">
        <f>+S87+S86</f>
        <v>0</v>
      </c>
      <c r="T88" s="346">
        <f t="shared" ref="T88:Z88" si="132">+T87+T86</f>
        <v>0</v>
      </c>
      <c r="U88" s="346">
        <f t="shared" si="132"/>
        <v>0</v>
      </c>
      <c r="V88" s="346">
        <f t="shared" si="132"/>
        <v>0</v>
      </c>
      <c r="W88" s="346">
        <f t="shared" si="132"/>
        <v>0</v>
      </c>
      <c r="X88" s="347">
        <f t="shared" si="132"/>
        <v>0</v>
      </c>
      <c r="Y88" s="155">
        <f t="shared" si="132"/>
        <v>0</v>
      </c>
      <c r="Z88" s="154">
        <f t="shared" si="132"/>
        <v>0</v>
      </c>
      <c r="AA88" s="154">
        <f t="shared" ref="AA88:AB88" si="133">+AA87+AA86</f>
        <v>0</v>
      </c>
      <c r="AB88" s="154">
        <f t="shared" si="133"/>
        <v>0</v>
      </c>
      <c r="AC88" s="147">
        <f t="shared" si="128"/>
        <v>0</v>
      </c>
      <c r="AF88" s="71"/>
      <c r="AG88" s="71"/>
      <c r="AH88" s="71"/>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row>
    <row r="89" spans="1:62" s="9" customFormat="1" ht="14.25" customHeight="1" x14ac:dyDescent="0.2">
      <c r="N89" s="79"/>
      <c r="O89" s="90"/>
      <c r="P89" s="90"/>
      <c r="Q89" s="159" t="s">
        <v>0</v>
      </c>
      <c r="R89" s="327">
        <f t="shared" si="127"/>
        <v>0</v>
      </c>
      <c r="S89" s="162">
        <f>IF(C12=2,S86*C6/100,IF($G$6=Lister!$D$4,(S86*$C$6)/100,IF($G$6=Lister!$D$5,(S88*$C$6)/100,IF($G$6=Lister!$D$6,((S88-SUMIFS(C52:C64,$O$52:$O$64,Lister!$D$31,$A$52:$A$64,Lister!$M$10)-SUMIFS(C52:C64,$O$52:$O$64,Lister!$D$32,$A$52:$A$64,Lister!$M$10))*$C$6)/100,IF($G$6=Lister!$D$7,(S87*$C$6)/100,0)))))</f>
        <v>0</v>
      </c>
      <c r="T89" s="340">
        <f>IF(D12=2,T86*D6/100,IF($G$6=Lister!$D$4,(T86*$C$6)/100,IF($G$6=Lister!$D$5,(T88*$C$6)/100,IF($G$6=Lister!$D$6,((T88-SUMIFS(D52:D64,$O$52:$O$64,Lister!$D$31,$A$52:$A$64,Lister!$M$10)-SUMIFS(D52:D64,$O$52:$O$64,Lister!$D$32,$A$52:$A$64,Lister!$M$10))*$C$6)/100,IF($G$6=Lister!$D$7,(T87*$C$6)/100,0)))))</f>
        <v>0</v>
      </c>
      <c r="U89" s="340">
        <f>IF(E12=2,U86*E6/100,IF($G$6=Lister!$D$4,(U86*$C$6)/100,IF($G$6=Lister!$D$5,(U88*$C$6)/100,IF($G$6=Lister!$D$6,((U88-SUMIFS(E52:E64,$O$52:$O$64,Lister!$D$31,$A$52:$A$64,Lister!$M$10)-SUMIFS(E52:E64,$O$52:$O$64,Lister!$D$32,$A$52:$A$64,Lister!$M$10))*$C$6)/100,IF($G$6=Lister!$D$7,(U87*$C$6)/100,0)))))</f>
        <v>0</v>
      </c>
      <c r="V89" s="340">
        <f>IF(F12=2,V86*F6/100,IF($G$6=Lister!$D$4,(V86*$C$6)/100,IF($G$6=Lister!$D$5,(V88*$C$6)/100,IF($G$6=Lister!$D$6,((V88-SUMIFS(F52:F64,$O$52:$O$64,Lister!$D$31,$A$52:$A$64,Lister!$M$10)-SUMIFS(F52:F64,$O$52:$O$64,Lister!$D$32,$A$52:$A$64,Lister!$M$10))*$C$6)/100,IF($G$6=Lister!$D$7,(V87*$C$6)/100,0)))))</f>
        <v>0</v>
      </c>
      <c r="W89" s="340">
        <f>IF(G12=2,W86*G6/100,IF($G$6=Lister!$D$4,(W86*$C$6)/100,IF($G$6=Lister!$D$5,(W88*$C$6)/100,IF($G$6=Lister!$D$6,((W88-SUMIFS(G52:G64,$O$52:$O$64,Lister!$D$31,$A$52:$A$64,Lister!$M$10)-SUMIFS(G52:G64,$O$52:$O$64,Lister!$D$32,$A$52:$A$64,Lister!$M$10))*$C$6)/100,IF($G$6=Lister!$D$7,(W87*$C$6)/100,0)))))</f>
        <v>0</v>
      </c>
      <c r="X89" s="341">
        <f>IF(H12=2,X86*H6/100,IF($G$6=Lister!$D$4,(X86*$C$6)/100,IF($G$6=Lister!$D$5,(X88*$C$6)/100,IF($G$6=Lister!$D$6,((X88-SUMIFS(H52:H64,$O$52:$O$64,Lister!$D$31,$A$52:$A$64,Lister!$M$10)-SUMIFS(H52:H64,$O$52:$O$64,Lister!$D$32,$A$52:$A$64,Lister!$M$10))*$C$6)/100,IF($G$6=Lister!$D$7,(X87*$C$6)/100,0)))))</f>
        <v>0</v>
      </c>
      <c r="Y89" s="216">
        <f>IF(I12=2,Y86*I6/100,IF($G$6=Lister!$D$4,(Y86*$C$6)/100,IF($G$6=Lister!$D$5,(Y88*$C$6)/100,IF($G$6=Lister!$D$6,((Y88-SUMIFS(I52:I64,$O$52:$O$64,Lister!$D$31,$A$52:$A$64,Lister!$M$10)-SUMIFS(I52:I64,$O$52:$O$64,Lister!$D$32,$A$52:$A$64,Lister!$M$10))*$C$6)/100,IF($G$6=Lister!$D$7,(Y87*$C$6)/100,0)))))</f>
        <v>0</v>
      </c>
      <c r="Z89" s="215">
        <f>IF(J12=2,Z86*J6/100,IF($G$6=Lister!$D$4,(Z86*$C$6)/100,IF($G$6=Lister!$D$5,(Z88*$C$6)/100,IF($G$6=Lister!$D$6,((Z88-SUMIFS(J52:J64,$O$52:$O$64,Lister!$D$31,$A$52:$A$64,Lister!$M$10)-SUMIFS(J52:J64,$O$52:$O$64,Lister!$D$32,$A$52:$A$64,Lister!$M$10))*$C$6)/100,IF($G$6=Lister!$D$7,(Z87*$C$6)/100,0)))))</f>
        <v>0</v>
      </c>
      <c r="AA89" s="215">
        <f>IF(K12=2,AA86*K6/100,IF($G$6=Lister!$D$4,(AA86*$C$6)/100,IF($G$6=Lister!$D$5,(AA88*$C$6)/100,IF($G$6=Lister!$D$6,((AA88-SUMIFS(K52:K64,$O$52:$O$64,Lister!$D$31,$A$52:$A$64,Lister!$M$10)-SUMIFS(K52:K64,$O$52:$O$64,Lister!$D$32,$A$52:$A$64,Lister!$M$10))*$C$6)/100,IF($G$6=Lister!$D$7,(AA87*$C$6)/100,0)))))</f>
        <v>0</v>
      </c>
      <c r="AB89" s="215">
        <f>IF(L12=2,AB86*L6/100,IF($G$6=Lister!$D$4,(AB86*$C$6)/100,IF($G$6=Lister!$D$5,(AB88*$C$6)/100,IF($G$6=Lister!$D$6,((AB88-SUMIFS(L52:L64,$O$52:$O$64,Lister!$D$31,$A$52:$A$64,Lister!$M$10)-SUMIFS(L52:L64,$O$52:$O$64,Lister!$D$32,$A$52:$A$64,Lister!$M$10))*$C$6)/100,IF($G$6=Lister!$D$7,(AB87*$C$6)/100,0)))))</f>
        <v>0</v>
      </c>
      <c r="AC89" s="147">
        <f t="shared" si="128"/>
        <v>0</v>
      </c>
      <c r="AF89" s="71"/>
      <c r="AG89" s="71"/>
      <c r="AH89" s="71"/>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row>
    <row r="90" spans="1:62" s="9" customFormat="1" ht="14.25" customHeight="1" x14ac:dyDescent="0.2">
      <c r="N90" s="71"/>
      <c r="O90" s="87"/>
      <c r="P90" s="87"/>
      <c r="Q90" s="160" t="s">
        <v>103</v>
      </c>
      <c r="R90" s="327">
        <f t="shared" si="127"/>
        <v>0</v>
      </c>
      <c r="S90" s="162">
        <f>+IF($C$8=Lister!$O$5,(SUMIF($O$20:$O$29,Lister!D31,C20:C29)+SUMIF($O$20:$O$29,Lister!D32,C20:C29))*Takstblad!C$81,0)</f>
        <v>0</v>
      </c>
      <c r="T90" s="162">
        <f>+IF($C$8=Lister!$O$5,(SUMIF($O$20:$O$29,Lister!E29,D20:D29)+SUMIF($O$20:$O$29,Lister!E30,D20:D29))*Takstblad!D$81,0)</f>
        <v>0</v>
      </c>
      <c r="U90" s="162">
        <f>+IF($C$8=Lister!$O$5,(SUMIF($O$20:$O$29,Lister!F29,E20:E29)+SUMIF($O$20:$O$29,Lister!F30,E20:E29))*Takstblad!E$81,0)</f>
        <v>0</v>
      </c>
      <c r="V90" s="162">
        <f>+IF($C$8=Lister!$O$5,(SUMIF($O$20:$O$29,Lister!G29,F20:F29)+SUMIF($O$20:$O$29,Lister!G30,F20:F29))*Takstblad!F$81,0)</f>
        <v>0</v>
      </c>
      <c r="W90" s="162">
        <f>+IF($C$8=Lister!$O$5,(SUMIF($O$20:$O$29,Lister!H29,G20:G29)+SUMIF($O$20:$O$29,Lister!H30,G20:G29))*Takstblad!G$81,0)</f>
        <v>0</v>
      </c>
      <c r="X90" s="315">
        <f>+IF($C$8=Lister!$O$5,(SUMIF($O$20:$O$29,Lister!I29,H20:H29)+SUMIF($O$20:$O$29,Lister!I30,H20:H29))*Takstblad!H$81,0)</f>
        <v>0</v>
      </c>
      <c r="Y90" s="119">
        <f>+IF($C$8=Lister!$O$5,(SUMIF($O$20:$O$29,Lister!J29,I20:I29)+SUMIF($O$20:$O$29,Lister!J30,I20:I29))*Takstblad!I$81,0)</f>
        <v>0</v>
      </c>
      <c r="Z90" s="21">
        <f>+IF($C$8=Lister!$O$5,(SUMIF($O$20:$O$29,Lister!K29,J20:J29)+SUMIF($O$20:$O$29,Lister!K30,J20:J29))*Takstblad!J$81,0)</f>
        <v>0</v>
      </c>
      <c r="AA90" s="21">
        <f>+IF($C$8=Lister!$O$5,(SUMIF($O$20:$O$29,Lister!L29,K20:K29)+SUMIF($O$20:$O$29,Lister!L30,K20:K29))*Takstblad!K$81,0)</f>
        <v>0</v>
      </c>
      <c r="AB90" s="21">
        <f>+IF($C$8=Lister!$O$5,(SUMIF($O$20:$O$29,Lister!M29,L20:L29)+SUMIF($O$20:$O$29,Lister!M30,L20:L29))*Takstblad!L$81,0)</f>
        <v>0</v>
      </c>
      <c r="AC90" s="147">
        <f t="shared" si="128"/>
        <v>0</v>
      </c>
      <c r="AF90" s="70"/>
      <c r="AG90" s="70"/>
      <c r="AH90" s="70"/>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row>
    <row r="91" spans="1:62" s="9" customFormat="1" ht="14.25" customHeight="1" x14ac:dyDescent="0.2">
      <c r="N91" s="71"/>
      <c r="O91" s="87"/>
      <c r="P91" s="87"/>
      <c r="Q91" s="160" t="s">
        <v>108</v>
      </c>
      <c r="R91" s="327">
        <f t="shared" si="127"/>
        <v>0</v>
      </c>
      <c r="S91" s="162"/>
      <c r="T91" s="164"/>
      <c r="U91" s="164"/>
      <c r="V91" s="164"/>
      <c r="W91" s="164"/>
      <c r="X91" s="323"/>
      <c r="Y91" s="123"/>
      <c r="Z91" s="124"/>
      <c r="AA91" s="124"/>
      <c r="AB91" s="124"/>
      <c r="AC91" s="147">
        <f t="shared" si="128"/>
        <v>0</v>
      </c>
      <c r="AF91" s="79"/>
      <c r="AG91" s="79"/>
      <c r="AH91" s="79"/>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row>
    <row r="92" spans="1:62" s="9" customFormat="1" ht="14.25" customHeight="1" x14ac:dyDescent="0.2">
      <c r="N92" s="71"/>
      <c r="O92" s="87"/>
      <c r="P92" s="87"/>
      <c r="Q92" s="159" t="s">
        <v>545</v>
      </c>
      <c r="R92" s="327">
        <f t="shared" si="127"/>
        <v>0</v>
      </c>
      <c r="S92" s="162" t="str">
        <f>IF($C$12=2,(SUM(S88:S91)*$C$13)/100,"0")</f>
        <v>0</v>
      </c>
      <c r="T92" s="164" t="str">
        <f t="shared" ref="T92:Z92" si="134">IF($C$12=2,(SUM(T88:T91)*$C$13)/100,"0")</f>
        <v>0</v>
      </c>
      <c r="U92" s="164" t="str">
        <f t="shared" si="134"/>
        <v>0</v>
      </c>
      <c r="V92" s="164" t="str">
        <f t="shared" si="134"/>
        <v>0</v>
      </c>
      <c r="W92" s="164" t="str">
        <f t="shared" si="134"/>
        <v>0</v>
      </c>
      <c r="X92" s="323" t="str">
        <f t="shared" si="134"/>
        <v>0</v>
      </c>
      <c r="Y92" s="165" t="str">
        <f t="shared" si="134"/>
        <v>0</v>
      </c>
      <c r="Z92" s="164" t="str">
        <f t="shared" si="134"/>
        <v>0</v>
      </c>
      <c r="AA92" s="164" t="str">
        <f t="shared" ref="AA92:AB92" si="135">IF($C$12=2,(SUM(AA88:AA91)*$C$13)/100,"0")</f>
        <v>0</v>
      </c>
      <c r="AB92" s="164" t="str">
        <f t="shared" si="135"/>
        <v>0</v>
      </c>
      <c r="AC92" s="147">
        <f t="shared" si="128"/>
        <v>0</v>
      </c>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row>
    <row r="93" spans="1:62" s="9" customFormat="1" ht="14.25" customHeight="1" x14ac:dyDescent="0.2">
      <c r="N93" s="71"/>
      <c r="O93" s="87"/>
      <c r="P93" s="87"/>
      <c r="Q93" s="158" t="s">
        <v>101</v>
      </c>
      <c r="R93" s="327">
        <f t="shared" si="127"/>
        <v>0</v>
      </c>
      <c r="S93" s="328">
        <f>+SUM(S88:S92)</f>
        <v>0</v>
      </c>
      <c r="T93" s="328">
        <f t="shared" ref="T93:Z93" si="136">+SUM(T88:T92)</f>
        <v>0</v>
      </c>
      <c r="U93" s="328">
        <f t="shared" si="136"/>
        <v>0</v>
      </c>
      <c r="V93" s="328">
        <f t="shared" si="136"/>
        <v>0</v>
      </c>
      <c r="W93" s="328">
        <f t="shared" si="136"/>
        <v>0</v>
      </c>
      <c r="X93" s="329">
        <f t="shared" si="136"/>
        <v>0</v>
      </c>
      <c r="Y93" s="311">
        <f t="shared" si="136"/>
        <v>0</v>
      </c>
      <c r="Z93" s="146">
        <f t="shared" si="136"/>
        <v>0</v>
      </c>
      <c r="AA93" s="146">
        <f t="shared" ref="AA93:AB93" si="137">+SUM(AA88:AA92)</f>
        <v>0</v>
      </c>
      <c r="AB93" s="146">
        <f t="shared" si="137"/>
        <v>0</v>
      </c>
      <c r="AC93" s="147">
        <f t="shared" si="128"/>
        <v>0</v>
      </c>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238"/>
      <c r="R94" s="239"/>
      <c r="S94" s="23"/>
      <c r="X94" s="239"/>
      <c r="AC94" s="239"/>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5">
      <c r="N95" s="71"/>
      <c r="O95" s="87"/>
      <c r="P95" s="87"/>
      <c r="Q95" s="139" t="s">
        <v>152</v>
      </c>
      <c r="R95" s="140"/>
      <c r="S95" s="241"/>
      <c r="T95" s="145"/>
      <c r="U95" s="145"/>
      <c r="V95" s="145"/>
      <c r="W95" s="145"/>
      <c r="X95" s="320"/>
      <c r="Y95" s="145"/>
      <c r="Z95" s="145"/>
      <c r="AA95" s="145"/>
      <c r="AB95" s="145"/>
      <c r="AC95" s="140"/>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s="9" customFormat="1" ht="14.25" customHeight="1" x14ac:dyDescent="0.25">
      <c r="N96" s="71"/>
      <c r="O96" s="87"/>
      <c r="P96" s="87"/>
      <c r="Q96" s="143"/>
      <c r="R96" s="142"/>
      <c r="S96" s="16"/>
      <c r="T96" s="76"/>
      <c r="U96" s="76"/>
      <c r="V96" s="76"/>
      <c r="W96" s="76"/>
      <c r="X96" s="142"/>
      <c r="Y96" s="76"/>
      <c r="Z96" s="76"/>
      <c r="AA96" s="76"/>
      <c r="AB96" s="76"/>
      <c r="AC96" s="142"/>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9" customFormat="1" ht="14.25" customHeight="1" x14ac:dyDescent="0.2">
      <c r="N97" s="71"/>
      <c r="O97" s="87"/>
      <c r="P97" s="87"/>
      <c r="Q97" s="161" t="s">
        <v>22</v>
      </c>
      <c r="R97" s="133" t="s">
        <v>34</v>
      </c>
      <c r="S97" s="45">
        <f>+S83</f>
        <v>2025</v>
      </c>
      <c r="T97" s="8">
        <f t="shared" ref="T97:Z97" si="138">+T83</f>
        <v>2026</v>
      </c>
      <c r="U97" s="8">
        <f t="shared" si="138"/>
        <v>2027</v>
      </c>
      <c r="V97" s="8">
        <f t="shared" si="138"/>
        <v>2028</v>
      </c>
      <c r="W97" s="8">
        <f t="shared" si="138"/>
        <v>2029</v>
      </c>
      <c r="X97" s="133">
        <f t="shared" si="138"/>
        <v>2030</v>
      </c>
      <c r="Y97" s="8">
        <f t="shared" si="138"/>
        <v>2031</v>
      </c>
      <c r="Z97" s="8">
        <f t="shared" si="138"/>
        <v>2032</v>
      </c>
      <c r="AA97" s="8">
        <f t="shared" ref="AA97:AB97" si="139">+AA83</f>
        <v>2033</v>
      </c>
      <c r="AB97" s="8">
        <f t="shared" si="139"/>
        <v>2034</v>
      </c>
      <c r="AC97" s="133" t="s">
        <v>34</v>
      </c>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1"/>
      <c r="O98" s="87"/>
      <c r="P98" s="87"/>
      <c r="Q98" s="156" t="s">
        <v>74</v>
      </c>
      <c r="R98" s="330">
        <f t="shared" ref="R98:R107" si="140">+AC98</f>
        <v>0</v>
      </c>
      <c r="S98" s="331">
        <f>+SUMIF($O$20:$O$29,Lister!$D$30,S$20:S$29)</f>
        <v>0</v>
      </c>
      <c r="T98" s="334">
        <f>+SUMIF($O$20:$O$29,Lister!$D$30,T$20:T$29)</f>
        <v>0</v>
      </c>
      <c r="U98" s="331">
        <f>+SUMIF($O$20:$O$29,Lister!$D$30,U$20:U$29)</f>
        <v>0</v>
      </c>
      <c r="V98" s="334">
        <f>+SUMIF($O$20:$O$29,Lister!$D$30,V$20:V$29)</f>
        <v>0</v>
      </c>
      <c r="W98" s="331">
        <f>+SUMIF($O$20:$O$29,Lister!$D$30,W$20:W$29)</f>
        <v>0</v>
      </c>
      <c r="X98" s="335">
        <f>+SUMIF($O$20:$O$29,Lister!$D$30,X$20:X$29)</f>
        <v>0</v>
      </c>
      <c r="Y98" s="309">
        <f>+SUMIF($O$20:$O$29,Lister!$D$30,Y$20:Y$29)</f>
        <v>0</v>
      </c>
      <c r="Z98" s="28">
        <f>+SUMIF($O$20:$O$29,Lister!$D$30,Z$20:Z$29)</f>
        <v>0</v>
      </c>
      <c r="AA98" s="28">
        <f>+SUMIF($O$20:$O$29,Lister!$D$30,AA$20:AA$29)</f>
        <v>0</v>
      </c>
      <c r="AB98" s="28">
        <f>+SUMIF($O$20:$O$29,Lister!$D$30,AB$20:AB$29)</f>
        <v>0</v>
      </c>
      <c r="AC98" s="149">
        <f>SUM(S98:AB98)</f>
        <v>0</v>
      </c>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row>
    <row r="99" spans="14:62" s="9" customFormat="1" ht="14.25" customHeight="1" x14ac:dyDescent="0.2">
      <c r="N99" s="71"/>
      <c r="O99" s="87"/>
      <c r="P99" s="87"/>
      <c r="Q99" s="157" t="s">
        <v>75</v>
      </c>
      <c r="R99" s="324">
        <f t="shared" si="140"/>
        <v>0</v>
      </c>
      <c r="S99" s="325">
        <f>+SUMIF($O$33:$O$45,Lister!$D$30,S$33:S$45)</f>
        <v>0</v>
      </c>
      <c r="T99" s="336">
        <f>+SUMIF($O$33:$O$45,Lister!$D$30,T$33:T$45)</f>
        <v>0</v>
      </c>
      <c r="U99" s="325">
        <f>+SUMIF($O$33:$O$45,Lister!$D$30,U$33:U$45)</f>
        <v>0</v>
      </c>
      <c r="V99" s="336">
        <f>+SUMIF($O$33:$O$45,Lister!$D$30,V$33:V$45)</f>
        <v>0</v>
      </c>
      <c r="W99" s="325">
        <f>+SUMIF($O$33:$O$45,Lister!$D$30,W$33:W$45)</f>
        <v>0</v>
      </c>
      <c r="X99" s="337">
        <f>+SUMIF($O$33:$O$45,Lister!$D$30,X$33:X$45)</f>
        <v>0</v>
      </c>
      <c r="Y99" s="310">
        <f>+SUMIF($O$33:$O$45,Lister!$D$30,Y$33:Y$45)</f>
        <v>0</v>
      </c>
      <c r="Z99" s="122">
        <f>+SUMIF($O$33:$O$45,Lister!$D$30,Z$33:Z$45)</f>
        <v>0</v>
      </c>
      <c r="AA99" s="122">
        <f>+SUMIF($O$33:$O$45,Lister!$D$30,AA$33:AA$45)</f>
        <v>0</v>
      </c>
      <c r="AB99" s="122">
        <f>+SUMIF($O$33:$O$45,Lister!$D$30,AB$33:AB$45)</f>
        <v>0</v>
      </c>
      <c r="AC99" s="150">
        <f t="shared" ref="AC99:AC107" si="141">SUM(S99:AB99)</f>
        <v>0</v>
      </c>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row>
    <row r="100" spans="14:62" s="9" customFormat="1" ht="14.25" customHeight="1" x14ac:dyDescent="0.2">
      <c r="N100" s="71"/>
      <c r="O100" s="87"/>
      <c r="P100" s="87"/>
      <c r="Q100" s="158" t="s">
        <v>76</v>
      </c>
      <c r="R100" s="327">
        <f t="shared" si="140"/>
        <v>0</v>
      </c>
      <c r="S100" s="328">
        <f>+SUM(S98:S99)</f>
        <v>0</v>
      </c>
      <c r="T100" s="328">
        <f t="shared" ref="T100:Z100" si="142">+SUM(T98:T99)</f>
        <v>0</v>
      </c>
      <c r="U100" s="328">
        <f t="shared" si="142"/>
        <v>0</v>
      </c>
      <c r="V100" s="328">
        <f t="shared" si="142"/>
        <v>0</v>
      </c>
      <c r="W100" s="328">
        <f t="shared" si="142"/>
        <v>0</v>
      </c>
      <c r="X100" s="329">
        <f t="shared" si="142"/>
        <v>0</v>
      </c>
      <c r="Y100" s="151">
        <f t="shared" si="142"/>
        <v>0</v>
      </c>
      <c r="Z100" s="146">
        <f t="shared" si="142"/>
        <v>0</v>
      </c>
      <c r="AA100" s="146">
        <f t="shared" ref="AA100:AB100" si="143">+SUM(AA98:AA99)</f>
        <v>0</v>
      </c>
      <c r="AB100" s="146">
        <f t="shared" si="143"/>
        <v>0</v>
      </c>
      <c r="AC100" s="147">
        <f t="shared" si="141"/>
        <v>0</v>
      </c>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58" t="s">
        <v>77</v>
      </c>
      <c r="R101" s="327">
        <f t="shared" si="140"/>
        <v>0</v>
      </c>
      <c r="S101" s="328">
        <f>+SUMIF($O$52:$O$64,Lister!$D$30,C$52:C$64)</f>
        <v>0</v>
      </c>
      <c r="T101" s="344">
        <f>+SUMIF($O$52:$O$64,Lister!$D$30,D$52:D$64)</f>
        <v>0</v>
      </c>
      <c r="U101" s="344">
        <f>+SUMIF($O$52:$O$64,Lister!$D$30,E$52:E$64)</f>
        <v>0</v>
      </c>
      <c r="V101" s="344">
        <f>+SUMIF($O$52:$O$64,Lister!$D$30,F$52:F$64)</f>
        <v>0</v>
      </c>
      <c r="W101" s="344">
        <f>+SUMIF($O$52:$O$64,Lister!$D$30,G$52:G$64)</f>
        <v>0</v>
      </c>
      <c r="X101" s="345">
        <f>+SUMIF($O$52:$O$64,Lister!$D$30,H$52:H$64)</f>
        <v>0</v>
      </c>
      <c r="Y101" s="220">
        <f>+SUMIF($O$52:$O$64,Lister!$D$30,I$52:I$64)</f>
        <v>0</v>
      </c>
      <c r="Z101" s="219">
        <f>+SUMIF($O$52:$O$64,Lister!$D$30,J$52:J$64)</f>
        <v>0</v>
      </c>
      <c r="AA101" s="219">
        <f>+SUMIF($O$52:$O$64,Lister!$D$30,K$52:K$64)</f>
        <v>0</v>
      </c>
      <c r="AB101" s="219">
        <f>+SUMIF($O$52:$O$64,Lister!$D$30,L$52:L$64)</f>
        <v>0</v>
      </c>
      <c r="AC101" s="147">
        <f t="shared" si="141"/>
        <v>0</v>
      </c>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8" t="s">
        <v>78</v>
      </c>
      <c r="R102" s="327">
        <f t="shared" si="140"/>
        <v>0</v>
      </c>
      <c r="S102" s="328">
        <f>+S101+S100</f>
        <v>0</v>
      </c>
      <c r="T102" s="346">
        <f t="shared" ref="T102:Z102" si="144">+T101+T100</f>
        <v>0</v>
      </c>
      <c r="U102" s="346">
        <f t="shared" si="144"/>
        <v>0</v>
      </c>
      <c r="V102" s="346">
        <f t="shared" si="144"/>
        <v>0</v>
      </c>
      <c r="W102" s="346">
        <f t="shared" si="144"/>
        <v>0</v>
      </c>
      <c r="X102" s="347">
        <f t="shared" si="144"/>
        <v>0</v>
      </c>
      <c r="Y102" s="155">
        <f t="shared" si="144"/>
        <v>0</v>
      </c>
      <c r="Z102" s="154">
        <f t="shared" si="144"/>
        <v>0</v>
      </c>
      <c r="AA102" s="154">
        <f t="shared" ref="AA102:AB102" si="145">+AA101+AA100</f>
        <v>0</v>
      </c>
      <c r="AB102" s="154">
        <f t="shared" si="145"/>
        <v>0</v>
      </c>
      <c r="AC102" s="147">
        <f t="shared" si="141"/>
        <v>0</v>
      </c>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15" customFormat="1" ht="14.25" customHeight="1" x14ac:dyDescent="0.2">
      <c r="N103" s="71"/>
      <c r="O103" s="87"/>
      <c r="P103" s="87"/>
      <c r="Q103" s="159" t="s">
        <v>0</v>
      </c>
      <c r="R103" s="327">
        <f t="shared" si="140"/>
        <v>0</v>
      </c>
      <c r="S103" s="162">
        <f>IF(C12=2,S100*C6/100,IF($G$6=Lister!$D$4,(S100*$C$6)/100,IF($G$6=Lister!$D$5,(S102*$C$6)/100,IF($G$6=Lister!$D$6,((S102-SUMIFS(C52:C64,$O$52:$O$64,Lister!$D$30,$A$52:$A$64,Lister!$M$10))*$C$6)/100,IF($G$6=Lister!$D$7,(S101*$C$6)/100,0)))))</f>
        <v>0</v>
      </c>
      <c r="T103" s="340">
        <f>IF(D12=2,T100*D6/100,IF($G$6=Lister!$D$4,(T100*$C$6)/100,IF($G$6=Lister!$D$5,(T102*$C$6)/100,IF($G$6=Lister!$D$6,((T102-SUMIFS(D52:D64,$O$52:$O$64,Lister!$D$30,$A$52:$A$64,Lister!$M$10))*$C$6)/100,IF($G$6=Lister!$D$7,(T101*$C$6)/100,0)))))</f>
        <v>0</v>
      </c>
      <c r="U103" s="340">
        <f>IF(E12=2,U100*E6/100,IF($G$6=Lister!$D$4,(U100*$C$6)/100,IF($G$6=Lister!$D$5,(U102*$C$6)/100,IF($G$6=Lister!$D$6,((U102-SUMIFS(E52:E64,$O$52:$O$64,Lister!$D$30,$A$52:$A$64,Lister!$M$10))*$C$6)/100,IF($G$6=Lister!$D$7,(U101*$C$6)/100,0)))))</f>
        <v>0</v>
      </c>
      <c r="V103" s="340">
        <f>IF(F12=2,V100*F6/100,IF($G$6=Lister!$D$4,(V100*$C$6)/100,IF($G$6=Lister!$D$5,(V102*$C$6)/100,IF($G$6=Lister!$D$6,((V102-SUMIFS(F52:F64,$O$52:$O$64,Lister!$D$30,$A$52:$A$64,Lister!$M$10))*$C$6)/100,IF($G$6=Lister!$D$7,(V101*$C$6)/100,0)))))</f>
        <v>0</v>
      </c>
      <c r="W103" s="340">
        <f>IF(G12=2,W100*G6/100,IF($G$6=Lister!$D$4,(W100*$C$6)/100,IF($G$6=Lister!$D$5,(W102*$C$6)/100,IF($G$6=Lister!$D$6,((W102-SUMIFS(G52:G64,$O$52:$O$64,Lister!$D$30,$A$52:$A$64,Lister!$M$10))*$C$6)/100,IF($G$6=Lister!$D$7,(W101*$C$6)/100,0)))))</f>
        <v>0</v>
      </c>
      <c r="X103" s="341">
        <f>IF(H12=2,X100*H6/100,IF($G$6=Lister!$D$4,(X100*$C$6)/100,IF($G$6=Lister!$D$5,(X102*$C$6)/100,IF($G$6=Lister!$D$6,((X102-SUMIFS(H52:H64,$O$52:$O$64,Lister!$D$30,$A$52:$A$64,Lister!$M$10))*$C$6)/100,IF($G$6=Lister!$D$7,(X101*$C$6)/100,0)))))</f>
        <v>0</v>
      </c>
      <c r="Y103" s="216">
        <f>IF(I12=2,Y100*I6/100,IF($G$6=Lister!$D$4,(Y100*$C$6)/100,IF($G$6=Lister!$D$5,(Y102*$C$6)/100,IF($G$6=Lister!$D$6,((Y102-SUMIFS(I52:I64,$O$52:$O$64,Lister!$D$30,$A$52:$A$64,Lister!$M$10))*$C$6)/100,IF($G$6=Lister!$D$7,(Y101*$C$6)/100,0)))))</f>
        <v>0</v>
      </c>
      <c r="Z103" s="215">
        <f>IF(J12=2,Z100*J6/100,IF($G$6=Lister!$D$4,(Z100*$C$6)/100,IF($G$6=Lister!$D$5,(Z102*$C$6)/100,IF($G$6=Lister!$D$6,((Z102-SUMIFS(J52:J64,$O$52:$O$64,Lister!$D$30,$A$52:$A$64,Lister!$M$10))*$C$6)/100,IF($G$6=Lister!$D$7,(Z101*$C$6)/100,0)))))</f>
        <v>0</v>
      </c>
      <c r="AA103" s="215">
        <f>IF(K12=2,AA100*K6/100,IF($G$6=Lister!$D$4,(AA100*$C$6)/100,IF($G$6=Lister!$D$5,(AA102*$C$6)/100,IF($G$6=Lister!$D$6,((AA102-SUMIFS(K52:K64,$O$52:$O$64,Lister!$D$30,$A$52:$A$64,Lister!$M$10))*$C$6)/100,IF($G$6=Lister!$D$7,(AA101*$C$6)/100,0)))))</f>
        <v>0</v>
      </c>
      <c r="AB103" s="215">
        <f>IF(L12=2,AB100*L6/100,IF($G$6=Lister!$D$4,(AB100*$C$6)/100,IF($G$6=Lister!$D$5,(AB102*$C$6)/100,IF($G$6=Lister!$D$6,((AB102-SUMIFS(L52:L64,$O$52:$O$64,Lister!$D$30,$A$52:$A$64,Lister!$M$10))*$C$6)/100,IF($G$6=Lister!$D$7,(AB101*$C$6)/100,0)))))</f>
        <v>0</v>
      </c>
      <c r="AC103" s="147">
        <f t="shared" si="141"/>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160" t="s">
        <v>103</v>
      </c>
      <c r="R104" s="327">
        <f t="shared" si="140"/>
        <v>0</v>
      </c>
      <c r="S104" s="162">
        <f>+IF($C$8=Lister!$O$5,(SUMIF($O$20:$O$29,Lister!$D$30,C20:C29))*Takstblad!C$81,0)</f>
        <v>0</v>
      </c>
      <c r="T104" s="162">
        <f>+IF($C$8=Lister!$O$5,(SUMIF($O$20:$O$29,Lister!$D$30,D20:D29))*Takstblad!D$81,0)</f>
        <v>0</v>
      </c>
      <c r="U104" s="162">
        <f>+IF($C$8=Lister!$O$5,(SUMIF($O$20:$O$29,Lister!$D$30,E20:E29))*Takstblad!E$81,0)</f>
        <v>0</v>
      </c>
      <c r="V104" s="162">
        <f>+IF($C$8=Lister!$O$5,(SUMIF($O$20:$O$29,Lister!$D$30,F20:F29))*Takstblad!F$81,0)</f>
        <v>0</v>
      </c>
      <c r="W104" s="162">
        <f>+IF($C$8=Lister!$O$5,(SUMIF($O$20:$O$29,Lister!$D$30,G20:G29))*Takstblad!G$81,0)</f>
        <v>0</v>
      </c>
      <c r="X104" s="315">
        <f>+IF($C$8=Lister!$O$5,(SUMIF($O$20:$O$29,Lister!$D$30,H20:H29))*Takstblad!H$81,0)</f>
        <v>0</v>
      </c>
      <c r="Y104" s="312">
        <f>+IF($C$8=Lister!$O$5,(SUMIF($O$20:$O$29,Lister!$D$30,I20:I29))*Takstblad!I$81,0)</f>
        <v>0</v>
      </c>
      <c r="Z104" s="21">
        <f>+IF($C$8=Lister!$O$5,(SUMIF($O$20:$O$29,Lister!$D$30,J20:J29))*Takstblad!J$81,0)</f>
        <v>0</v>
      </c>
      <c r="AA104" s="21">
        <f>+IF($C$8=Lister!$O$5,(SUMIF($O$20:$O$29,Lister!$D$30,K20:K29))*Takstblad!K$81,0)</f>
        <v>0</v>
      </c>
      <c r="AB104" s="21">
        <f>+IF($C$8=Lister!$O$5,(SUMIF($O$20:$O$29,Lister!$D$30,L20:L29))*Takstblad!L$81,0)</f>
        <v>0</v>
      </c>
      <c r="AC104" s="147">
        <f t="shared" si="141"/>
        <v>0</v>
      </c>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ht="14.25" customHeight="1" x14ac:dyDescent="0.2">
      <c r="N105" s="82"/>
      <c r="O105" s="93"/>
      <c r="P105" s="93"/>
      <c r="Q105" s="160" t="s">
        <v>108</v>
      </c>
      <c r="R105" s="327">
        <f t="shared" si="140"/>
        <v>0</v>
      </c>
      <c r="S10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12)*Takstblad!C$82,0)</f>
        <v>0</v>
      </c>
      <c r="T10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12)*Takstblad!D$82,0)</f>
        <v>0</v>
      </c>
      <c r="U10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12)*Takstblad!E$82,0)</f>
        <v>0</v>
      </c>
      <c r="V10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12)*Takstblad!F$82,0)</f>
        <v>0</v>
      </c>
      <c r="W10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12)*Takstblad!G$82,0)</f>
        <v>0</v>
      </c>
      <c r="X105"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12)*Takstblad!H$82,0)</f>
        <v>0</v>
      </c>
      <c r="Y10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12)*Takstblad!I$82,0)</f>
        <v>0</v>
      </c>
      <c r="Z10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12)*Takstblad!J$82,0)</f>
        <v>0</v>
      </c>
      <c r="AA10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12)*Takstblad!K$82,0)</f>
        <v>0</v>
      </c>
      <c r="AB10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12)*Takstblad!L$82,0)</f>
        <v>0</v>
      </c>
      <c r="AC105" s="147">
        <f t="shared" si="141"/>
        <v>0</v>
      </c>
      <c r="AD105" s="71"/>
      <c r="AE105" s="71"/>
      <c r="AF105" s="71"/>
      <c r="AG105" s="71"/>
      <c r="AH105" s="71"/>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row>
    <row r="106" spans="14:62" ht="14.25" customHeight="1" x14ac:dyDescent="0.2">
      <c r="N106" s="71"/>
      <c r="O106" s="87"/>
      <c r="P106" s="87"/>
      <c r="Q106" s="159" t="s">
        <v>545</v>
      </c>
      <c r="R106" s="327">
        <f t="shared" si="140"/>
        <v>0</v>
      </c>
      <c r="S106" s="162" t="str">
        <f>IF($C$12=2,(SUM(S102:S105)*$C$13)/100,"0")</f>
        <v>0</v>
      </c>
      <c r="T106" s="164" t="str">
        <f>IF($C$12=2,(SUM(T102:T105)*$C$13)/100,"0")</f>
        <v>0</v>
      </c>
      <c r="U106" s="164" t="str">
        <f t="shared" ref="U106:Z106" si="146">IF($C$12=2,(SUM(U102:U105)*$C$13)/100,"0")</f>
        <v>0</v>
      </c>
      <c r="V106" s="164" t="str">
        <f t="shared" si="146"/>
        <v>0</v>
      </c>
      <c r="W106" s="164" t="str">
        <f t="shared" si="146"/>
        <v>0</v>
      </c>
      <c r="X106" s="323" t="str">
        <f t="shared" si="146"/>
        <v>0</v>
      </c>
      <c r="Y106" s="165" t="str">
        <f t="shared" si="146"/>
        <v>0</v>
      </c>
      <c r="Z106" s="164" t="str">
        <f t="shared" si="146"/>
        <v>0</v>
      </c>
      <c r="AA106" s="164" t="str">
        <f t="shared" ref="AA106:AB106" si="147">IF($C$12=2,(SUM(AA102:AA105)*$C$13)/100,"0")</f>
        <v>0</v>
      </c>
      <c r="AB106" s="164" t="str">
        <f t="shared" si="147"/>
        <v>0</v>
      </c>
      <c r="AC106" s="147">
        <f t="shared" si="141"/>
        <v>0</v>
      </c>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ht="14.25" customHeight="1" x14ac:dyDescent="0.2">
      <c r="N107" s="70"/>
      <c r="O107" s="85"/>
      <c r="P107" s="85"/>
      <c r="Q107" s="158" t="s">
        <v>101</v>
      </c>
      <c r="R107" s="327">
        <f t="shared" si="140"/>
        <v>0</v>
      </c>
      <c r="S107" s="328">
        <f>+SUM(S102:S106)</f>
        <v>0</v>
      </c>
      <c r="T107" s="328">
        <f t="shared" ref="T107:Z107" si="148">+SUM(T102:T106)</f>
        <v>0</v>
      </c>
      <c r="U107" s="328">
        <f t="shared" si="148"/>
        <v>0</v>
      </c>
      <c r="V107" s="328">
        <f t="shared" si="148"/>
        <v>0</v>
      </c>
      <c r="W107" s="328">
        <f t="shared" si="148"/>
        <v>0</v>
      </c>
      <c r="X107" s="329">
        <f t="shared" si="148"/>
        <v>0</v>
      </c>
      <c r="Y107" s="311">
        <f t="shared" si="148"/>
        <v>0</v>
      </c>
      <c r="Z107" s="146">
        <f t="shared" si="148"/>
        <v>0</v>
      </c>
      <c r="AA107" s="146">
        <f t="shared" ref="AA107:AB107" si="149">+SUM(AA102:AA106)</f>
        <v>0</v>
      </c>
      <c r="AB107" s="146">
        <f t="shared" si="149"/>
        <v>0</v>
      </c>
      <c r="AC107" s="147">
        <f t="shared" si="141"/>
        <v>0</v>
      </c>
      <c r="AD107" s="71"/>
      <c r="AE107" s="82"/>
      <c r="AF107" s="82"/>
      <c r="AG107" s="82"/>
      <c r="AH107" s="82"/>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row>
    <row r="108" spans="14:62" s="9" customFormat="1" ht="14.25" customHeight="1" x14ac:dyDescent="0.2">
      <c r="N108" s="70"/>
      <c r="O108" s="85"/>
      <c r="P108" s="85"/>
      <c r="Q108" s="238"/>
      <c r="R108" s="142"/>
      <c r="S108" s="76"/>
      <c r="T108" s="76"/>
      <c r="U108" s="76"/>
      <c r="V108" s="76"/>
      <c r="W108" s="76"/>
      <c r="X108" s="142"/>
      <c r="Y108" s="76"/>
      <c r="Z108" s="76"/>
      <c r="AA108" s="76"/>
      <c r="AB108" s="76"/>
      <c r="AC108" s="142"/>
      <c r="AD108" s="82"/>
      <c r="AE108" s="71"/>
      <c r="AF108" s="71"/>
      <c r="AG108" s="71"/>
      <c r="AH108" s="71"/>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row>
    <row r="109" spans="14:62" ht="14.25" customHeight="1" x14ac:dyDescent="0.25">
      <c r="N109" s="70"/>
      <c r="O109" s="85"/>
      <c r="P109" s="85"/>
      <c r="Q109" s="139" t="s">
        <v>656</v>
      </c>
      <c r="R109" s="140"/>
      <c r="S109" s="241"/>
      <c r="T109" s="145"/>
      <c r="U109" s="145"/>
      <c r="V109" s="145"/>
      <c r="W109" s="145"/>
      <c r="X109" s="320"/>
      <c r="Y109" s="145"/>
      <c r="Z109" s="145"/>
      <c r="AA109" s="145"/>
      <c r="AB109" s="145"/>
      <c r="AC109" s="140"/>
      <c r="AD109" s="71"/>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row>
    <row r="110" spans="14:62" ht="14.25" customHeight="1" x14ac:dyDescent="0.25">
      <c r="N110" s="9"/>
      <c r="O110" s="9"/>
      <c r="P110" s="9"/>
      <c r="Q110" s="143"/>
      <c r="R110" s="142"/>
      <c r="S110" s="16"/>
      <c r="T110" s="76"/>
      <c r="U110" s="76"/>
      <c r="V110" s="76"/>
      <c r="W110" s="76"/>
      <c r="X110" s="142"/>
      <c r="Y110" s="76"/>
      <c r="Z110" s="76"/>
      <c r="AA110" s="76"/>
      <c r="AB110" s="76"/>
      <c r="AC110" s="142"/>
      <c r="AD110" s="70"/>
      <c r="AE110" s="70"/>
      <c r="AF110" s="70"/>
      <c r="AG110" s="70"/>
      <c r="AH110" s="70"/>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ht="14.25" customHeight="1" x14ac:dyDescent="0.2">
      <c r="Q111" s="161" t="s">
        <v>22</v>
      </c>
      <c r="R111" s="133" t="s">
        <v>34</v>
      </c>
      <c r="S111" s="45">
        <f>+S97</f>
        <v>2025</v>
      </c>
      <c r="T111" s="8">
        <f t="shared" ref="T111:Z111" si="150">+T97</f>
        <v>2026</v>
      </c>
      <c r="U111" s="8">
        <f t="shared" si="150"/>
        <v>2027</v>
      </c>
      <c r="V111" s="8">
        <f t="shared" si="150"/>
        <v>2028</v>
      </c>
      <c r="W111" s="8">
        <f t="shared" si="150"/>
        <v>2029</v>
      </c>
      <c r="X111" s="133">
        <f t="shared" si="150"/>
        <v>2030</v>
      </c>
      <c r="Y111" s="8">
        <f t="shared" si="150"/>
        <v>2031</v>
      </c>
      <c r="Z111" s="8">
        <f t="shared" si="150"/>
        <v>2032</v>
      </c>
      <c r="AA111" s="8">
        <f t="shared" ref="AA111:AB111" si="151">+AA97</f>
        <v>2033</v>
      </c>
      <c r="AB111" s="8">
        <f t="shared" si="151"/>
        <v>2034</v>
      </c>
      <c r="AC111" s="133" t="s">
        <v>34</v>
      </c>
      <c r="AD111" s="70"/>
      <c r="AE111" s="70"/>
      <c r="AF111" s="70"/>
      <c r="AG111" s="70"/>
      <c r="AH111" s="70"/>
    </row>
    <row r="112" spans="14:62" ht="14.25" customHeight="1" x14ac:dyDescent="0.2">
      <c r="Q112" s="156" t="s">
        <v>74</v>
      </c>
      <c r="R112" s="330">
        <f t="shared" ref="R112:R121" si="152">+AC112</f>
        <v>0</v>
      </c>
      <c r="S112" s="331">
        <f>+SUMIF($O$20:$O$29,Lister!$D$31,S$20:S$29)</f>
        <v>0</v>
      </c>
      <c r="T112" s="334">
        <f>+SUMIF($O$20:$O$29,Lister!$D$31,T$20:T$29)</f>
        <v>0</v>
      </c>
      <c r="U112" s="331">
        <f>+SUMIF($O$20:$O$29,Lister!$D$31,U$20:U$29)</f>
        <v>0</v>
      </c>
      <c r="V112" s="334">
        <f>+SUMIF($O$20:$O$29,Lister!$D$31,V$20:V$29)</f>
        <v>0</v>
      </c>
      <c r="W112" s="331">
        <f>+SUMIF($O$20:$O$29,Lister!$D$31,W$20:W$29)</f>
        <v>0</v>
      </c>
      <c r="X112" s="335">
        <f>+SUMIF($O$20:$O$29,Lister!$D$31,X$20:X$29)</f>
        <v>0</v>
      </c>
      <c r="Y112" s="309">
        <f>+SUMIF($O$20:$O$29,Lister!$D$31,Y$20:Y$29)</f>
        <v>0</v>
      </c>
      <c r="Z112" s="28">
        <f>+SUMIF($O$20:$O$29,Lister!$D$31,Z$20:Z$29)</f>
        <v>0</v>
      </c>
      <c r="AA112" s="28">
        <f>+SUMIF($O$20:$O$29,Lister!$D$31,AA$20:AA$29)</f>
        <v>0</v>
      </c>
      <c r="AB112" s="28">
        <f>+SUMIF($O$20:$O$29,Lister!$D$31,AB$20:AB$29)</f>
        <v>0</v>
      </c>
      <c r="AC112" s="149">
        <f>SUM(S112:Z112)</f>
        <v>0</v>
      </c>
      <c r="AD112" s="70"/>
      <c r="AE112" s="71"/>
      <c r="AF112" s="71"/>
      <c r="AG112" s="71"/>
      <c r="AH112" s="71"/>
    </row>
    <row r="113" spans="17:30" ht="14.25" customHeight="1" x14ac:dyDescent="0.2">
      <c r="Q113" s="157" t="s">
        <v>75</v>
      </c>
      <c r="R113" s="324">
        <f t="shared" si="152"/>
        <v>0</v>
      </c>
      <c r="S113" s="325">
        <f>+SUMIF($O$33:$O$45,Lister!$D$31,S$33:S$45)</f>
        <v>0</v>
      </c>
      <c r="T113" s="336">
        <f>+SUMIF($O$33:$O$45,Lister!$D$31,T$33:T$45)</f>
        <v>0</v>
      </c>
      <c r="U113" s="325">
        <f>+SUMIF($O$33:$O$45,Lister!$D$31,U$33:U$45)</f>
        <v>0</v>
      </c>
      <c r="V113" s="336">
        <f>+SUMIF($O$33:$O$45,Lister!$D$31,V$33:V$45)</f>
        <v>0</v>
      </c>
      <c r="W113" s="325">
        <f>+SUMIF($O$33:$O$45,Lister!$D$31,W$33:W$45)</f>
        <v>0</v>
      </c>
      <c r="X113" s="337">
        <f>+SUMIF($O$33:$O$45,Lister!$D$31,X$33:X$45)</f>
        <v>0</v>
      </c>
      <c r="Y113" s="310">
        <f>+SUMIF($O$33:$O$45,Lister!$D$31,Y$33:Y$45)</f>
        <v>0</v>
      </c>
      <c r="Z113" s="122">
        <f>+SUMIF($O$33:$O$45,Lister!$D$31,Z$33:Z$45)</f>
        <v>0</v>
      </c>
      <c r="AA113" s="122">
        <f>+SUMIF($O$33:$O$45,Lister!$D$31,AA$33:AA$45)</f>
        <v>0</v>
      </c>
      <c r="AB113" s="122">
        <f>+SUMIF($O$33:$O$45,Lister!$D$31,AB$33:AB$45)</f>
        <v>0</v>
      </c>
      <c r="AC113" s="150">
        <f t="shared" ref="AC113:AC116" si="153">SUM(S113:Z113)</f>
        <v>0</v>
      </c>
      <c r="AD113" s="71"/>
    </row>
    <row r="114" spans="17:30" ht="14.25" customHeight="1" x14ac:dyDescent="0.2">
      <c r="Q114" s="158" t="s">
        <v>76</v>
      </c>
      <c r="R114" s="327">
        <f t="shared" si="152"/>
        <v>0</v>
      </c>
      <c r="S114" s="328">
        <f>+S113+S112</f>
        <v>0</v>
      </c>
      <c r="T114" s="328">
        <f t="shared" ref="T114:Z114" si="154">+T113+T112</f>
        <v>0</v>
      </c>
      <c r="U114" s="328">
        <f t="shared" si="154"/>
        <v>0</v>
      </c>
      <c r="V114" s="328">
        <f t="shared" si="154"/>
        <v>0</v>
      </c>
      <c r="W114" s="328">
        <f t="shared" si="154"/>
        <v>0</v>
      </c>
      <c r="X114" s="329">
        <f t="shared" si="154"/>
        <v>0</v>
      </c>
      <c r="Y114" s="311">
        <f t="shared" si="154"/>
        <v>0</v>
      </c>
      <c r="Z114" s="146">
        <f t="shared" si="154"/>
        <v>0</v>
      </c>
      <c r="AA114" s="146">
        <f t="shared" ref="AA114:AB114" si="155">+AA113+AA112</f>
        <v>0</v>
      </c>
      <c r="AB114" s="146">
        <f t="shared" si="155"/>
        <v>0</v>
      </c>
      <c r="AC114" s="147">
        <f t="shared" si="153"/>
        <v>0</v>
      </c>
    </row>
    <row r="115" spans="17:30" ht="14.25" customHeight="1" x14ac:dyDescent="0.2">
      <c r="Q115" s="158" t="s">
        <v>77</v>
      </c>
      <c r="R115" s="327">
        <f t="shared" si="152"/>
        <v>0</v>
      </c>
      <c r="S115" s="328">
        <f>+SUMIF($O$52:$O$64,Lister!$D$31,C$52:C$64)</f>
        <v>0</v>
      </c>
      <c r="T115" s="344">
        <f>+SUMIF($O$52:$O$64,Lister!$D$31,D$52:D$64)</f>
        <v>0</v>
      </c>
      <c r="U115" s="344">
        <f>+SUMIF($O$52:$O$64,Lister!$D$31,E$52:E$64)</f>
        <v>0</v>
      </c>
      <c r="V115" s="344">
        <f>+SUMIF($O$52:$O$64,Lister!$D$31,F$52:F$64)</f>
        <v>0</v>
      </c>
      <c r="W115" s="344">
        <f>+SUMIF($O$52:$O$64,Lister!$D$31,G$52:G$64)</f>
        <v>0</v>
      </c>
      <c r="X115" s="345">
        <f>+SUMIF($O$52:$O$64,Lister!$D$31,H$52:H$64)</f>
        <v>0</v>
      </c>
      <c r="Y115" s="220">
        <f>+SUMIF($O$52:$O$64,Lister!$D$31,I$52:I$64)</f>
        <v>0</v>
      </c>
      <c r="Z115" s="219">
        <f>+SUMIF($O$52:$O$64,Lister!$D$31,J$52:J$64)</f>
        <v>0</v>
      </c>
      <c r="AA115" s="219">
        <f>+SUMIF($O$52:$O$64,Lister!$D$31,K$52:K$64)</f>
        <v>0</v>
      </c>
      <c r="AB115" s="219">
        <f>+SUMIF($O$52:$O$64,Lister!$D$31,L$52:L$64)</f>
        <v>0</v>
      </c>
      <c r="AC115" s="147">
        <f t="shared" si="153"/>
        <v>0</v>
      </c>
    </row>
    <row r="116" spans="17:30" ht="14.25" customHeight="1" x14ac:dyDescent="0.2">
      <c r="Q116" s="158" t="s">
        <v>78</v>
      </c>
      <c r="R116" s="327">
        <f t="shared" si="152"/>
        <v>0</v>
      </c>
      <c r="S116" s="328">
        <f>+S115+S114</f>
        <v>0</v>
      </c>
      <c r="T116" s="346">
        <f t="shared" ref="T116:Z116" si="156">+T115+T114</f>
        <v>0</v>
      </c>
      <c r="U116" s="346">
        <f t="shared" si="156"/>
        <v>0</v>
      </c>
      <c r="V116" s="346">
        <f t="shared" si="156"/>
        <v>0</v>
      </c>
      <c r="W116" s="346">
        <f t="shared" si="156"/>
        <v>0</v>
      </c>
      <c r="X116" s="347">
        <f t="shared" si="156"/>
        <v>0</v>
      </c>
      <c r="Y116" s="155">
        <f t="shared" si="156"/>
        <v>0</v>
      </c>
      <c r="Z116" s="154">
        <f t="shared" si="156"/>
        <v>0</v>
      </c>
      <c r="AA116" s="154">
        <f t="shared" ref="AA116:AB116" si="157">+AA115+AA114</f>
        <v>0</v>
      </c>
      <c r="AB116" s="154">
        <f t="shared" si="157"/>
        <v>0</v>
      </c>
      <c r="AC116" s="147">
        <f t="shared" si="153"/>
        <v>0</v>
      </c>
    </row>
    <row r="117" spans="17:30" ht="14.25" customHeight="1" x14ac:dyDescent="0.2">
      <c r="Q117" s="159" t="s">
        <v>0</v>
      </c>
      <c r="R117" s="327">
        <f t="shared" si="152"/>
        <v>0</v>
      </c>
      <c r="S117" s="162">
        <f>IF(C12=2,S114*C6/100,IF($G$6=Lister!$D$4,(S114*$C$6)/100,IF($G$6=Lister!$D$5,(S116*$C$6)/100,IF($G$6=Lister!$D$6,((S116-SUMIFS(C52:C64,$O$52:$O$64,Lister!$D$31,$A$52:$A$64,Lister!$M$10))*$C$6)/100,IF($G$6=Lister!$D$7,(S115*$C$6)/100,0)))))</f>
        <v>0</v>
      </c>
      <c r="T117" s="340">
        <f>IF(D12=2,T114*D6/100,IF($G$6=Lister!$D$4,(T114*$C$6)/100,IF($G$6=Lister!$D$5,(T116*$C$6)/100,IF($G$6=Lister!$D$6,((T116-SUMIFS(D52:D64,$O$52:$O$64,Lister!$D$31,$A$52:$A$64,Lister!$M$10))*$C$6)/100,IF($G$6=Lister!$D$7,(T115*$C$6)/100,0)))))</f>
        <v>0</v>
      </c>
      <c r="U117" s="340">
        <f>IF(E12=2,U114*E6/100,IF($G$6=Lister!$D$4,(U114*$C$6)/100,IF($G$6=Lister!$D$5,(U116*$C$6)/100,IF($G$6=Lister!$D$6,((U116-SUMIFS(E52:E64,$O$52:$O$64,Lister!$D$31,$A$52:$A$64,Lister!$M$10))*$C$6)/100,IF($G$6=Lister!$D$7,(U115*$C$6)/100,0)))))</f>
        <v>0</v>
      </c>
      <c r="V117" s="340">
        <f>IF(F12=2,V114*F6/100,IF($G$6=Lister!$D$4,(V114*$C$6)/100,IF($G$6=Lister!$D$5,(V116*$C$6)/100,IF($G$6=Lister!$D$6,((V116-SUMIFS(F52:F64,$O$52:$O$64,Lister!$D$31,$A$52:$A$64,Lister!$M$10))*$C$6)/100,IF($G$6=Lister!$D$7,(V115*$C$6)/100,0)))))</f>
        <v>0</v>
      </c>
      <c r="W117" s="340">
        <f>IF(G12=2,W114*G6/100,IF($G$6=Lister!$D$4,(W114*$C$6)/100,IF($G$6=Lister!$D$5,(W116*$C$6)/100,IF($G$6=Lister!$D$6,((W116-SUMIFS(G52:G64,$O$52:$O$64,Lister!$D$31,$A$52:$A$64,Lister!$M$10))*$C$6)/100,IF($G$6=Lister!$D$7,(W115*$C$6)/100,0)))))</f>
        <v>0</v>
      </c>
      <c r="X117" s="341">
        <f>IF(H12=2,X114*H6/100,IF($G$6=Lister!$D$4,(X114*$C$6)/100,IF($G$6=Lister!$D$5,(X116*$C$6)/100,IF($G$6=Lister!$D$6,((X116-SUMIFS(H52:H64,$O$52:$O$64,Lister!$D$31,$A$52:$A$64,Lister!$M$10))*$C$6)/100,IF($G$6=Lister!$D$7,(X115*$C$6)/100,0)))))</f>
        <v>0</v>
      </c>
      <c r="Y117" s="216">
        <f>IF(I12=2,Y114*I6/100,IF($G$6=Lister!$D$4,(Y114*$C$6)/100,IF($G$6=Lister!$D$5,(Y116*$C$6)/100,IF($G$6=Lister!$D$6,((Y116-SUMIFS(I52:I64,$O$52:$O$64,Lister!$D$31,$A$52:$A$64,Lister!$M$10))*$C$6)/100,IF($G$6=Lister!$D$7,(Y115*$C$6)/100,0)))))</f>
        <v>0</v>
      </c>
      <c r="Z117" s="215">
        <f>IF(J12=2,Z114*J6/100,IF($G$6=Lister!$D$4,(Z114*$C$6)/100,IF($G$6=Lister!$D$5,(Z116*$C$6)/100,IF($G$6=Lister!$D$6,((Z116-SUMIFS(J52:J64,$O$52:$O$64,Lister!$D$31,$A$52:$A$64,Lister!$M$10))*$C$6)/100,IF($G$6=Lister!$D$7,(Z115*$C$6)/100,0)))))</f>
        <v>0</v>
      </c>
      <c r="AA117" s="215">
        <f>IF(K12=2,AA114*K6/100,IF($G$6=Lister!$D$4,(AA114*$C$6)/100,IF($G$6=Lister!$D$5,(AA116*$C$6)/100,IF($G$6=Lister!$D$6,((AA116-SUMIFS(K52:K64,$O$52:$O$64,Lister!$D$31,$A$52:$A$64,Lister!$M$10))*$C$6)/100,IF($G$6=Lister!$D$7,(AA115*$C$6)/100,0)))))</f>
        <v>0</v>
      </c>
      <c r="AB117" s="215">
        <f>IF(L12=2,AB114*L6/100,IF($G$6=Lister!$D$4,(AB114*$C$6)/100,IF($G$6=Lister!$D$5,(AB116*$C$6)/100,IF($G$6=Lister!$D$6,((AB116-SUMIFS(L52:L64,$O$52:$O$64,Lister!$D$31,$A$52:$A$64,Lister!$M$10))*$C$6)/100,IF($G$6=Lister!$D$7,(AB115*$C$6)/100,0)))))</f>
        <v>0</v>
      </c>
      <c r="AC117" s="147">
        <f>SUM(S117:Z117)</f>
        <v>0</v>
      </c>
    </row>
    <row r="118" spans="17:30" ht="14.25" customHeight="1" x14ac:dyDescent="0.2">
      <c r="Q118" s="160" t="s">
        <v>103</v>
      </c>
      <c r="R118" s="327">
        <f t="shared" si="152"/>
        <v>0</v>
      </c>
      <c r="S118" s="162">
        <f>+IF($C$8=Lister!$O$5,(SUMIF($O$20:$O$29,Lister!$D$31,C20:C29))*Takstblad!C$81,0)</f>
        <v>0</v>
      </c>
      <c r="T118" s="162">
        <f>+IF($C$8=Lister!$O$5,(SUMIF($O$20:$O$29,Lister!$D$31,D20:D29))*Takstblad!D$81,0)</f>
        <v>0</v>
      </c>
      <c r="U118" s="162">
        <f>+IF($C$8=Lister!$O$5,(SUMIF($O$20:$O$29,Lister!$D$31,E20:E29))*Takstblad!E$81,0)</f>
        <v>0</v>
      </c>
      <c r="V118" s="162">
        <f>+IF($C$8=Lister!$O$5,(SUMIF($O$20:$O$29,Lister!$D$31,F20:F29))*Takstblad!F$81,0)</f>
        <v>0</v>
      </c>
      <c r="W118" s="162">
        <f>+IF($C$8=Lister!$O$5,(SUMIF($O$20:$O$29,Lister!$D$31,G20:G29))*Takstblad!G$81,0)</f>
        <v>0</v>
      </c>
      <c r="X118" s="315">
        <f>+IF($C$8=Lister!$O$5,(SUMIF($O$20:$O$29,Lister!$D$31,H20:H29))*Takstblad!H$81,0)</f>
        <v>0</v>
      </c>
      <c r="Y118" s="312">
        <f>+IF($C$8=Lister!$O$5,(SUMIF($O$20:$O$29,Lister!$D$31,I20:I29))*Takstblad!I$81,0)</f>
        <v>0</v>
      </c>
      <c r="Z118" s="21">
        <f>+IF($C$8=Lister!$O$5,(SUMIF($O$20:$O$29,Lister!$D$31,J20:J29))*Takstblad!J$81,0)</f>
        <v>0</v>
      </c>
      <c r="AA118" s="21">
        <f>+IF($C$8=Lister!$O$5,(SUMIF($O$20:$O$29,Lister!$D$31,K20:K29))*Takstblad!K$81,0)</f>
        <v>0</v>
      </c>
      <c r="AB118" s="21">
        <f>+IF($C$8=Lister!$O$5,(SUMIF($O$20:$O$29,Lister!$D$31,L20:L29))*Takstblad!L$81,0)</f>
        <v>0</v>
      </c>
      <c r="AC118" s="147">
        <f t="shared" ref="AC118:AC121" si="158">SUM(S118:Z118)</f>
        <v>0</v>
      </c>
    </row>
    <row r="119" spans="17:30" ht="14.25" customHeight="1" x14ac:dyDescent="0.2">
      <c r="Q119" s="160" t="s">
        <v>108</v>
      </c>
      <c r="R119" s="327">
        <f t="shared" si="152"/>
        <v>0</v>
      </c>
      <c r="S119" s="162"/>
      <c r="T119" s="164"/>
      <c r="U119" s="164"/>
      <c r="V119" s="164"/>
      <c r="W119" s="164"/>
      <c r="X119" s="323"/>
      <c r="Y119" s="123"/>
      <c r="Z119" s="124"/>
      <c r="AA119" s="124"/>
      <c r="AB119" s="124"/>
      <c r="AC119" s="147">
        <f t="shared" si="158"/>
        <v>0</v>
      </c>
    </row>
    <row r="120" spans="17:30" ht="14.25" customHeight="1" x14ac:dyDescent="0.2">
      <c r="Q120" s="159" t="s">
        <v>545</v>
      </c>
      <c r="R120" s="327">
        <f t="shared" si="152"/>
        <v>0</v>
      </c>
      <c r="S120" s="162" t="str">
        <f>IF($C$12=2,(SUM(S116:S119)*$C$13)/100,"0")</f>
        <v>0</v>
      </c>
      <c r="T120" s="164" t="str">
        <f t="shared" ref="T120:Z120" si="159">IF($C$12=2,(SUM(T116:T119)*$C$13)/100,"0")</f>
        <v>0</v>
      </c>
      <c r="U120" s="164" t="str">
        <f t="shared" si="159"/>
        <v>0</v>
      </c>
      <c r="V120" s="164" t="str">
        <f t="shared" si="159"/>
        <v>0</v>
      </c>
      <c r="W120" s="164" t="str">
        <f t="shared" si="159"/>
        <v>0</v>
      </c>
      <c r="X120" s="323" t="str">
        <f t="shared" si="159"/>
        <v>0</v>
      </c>
      <c r="Y120" s="165" t="str">
        <f t="shared" si="159"/>
        <v>0</v>
      </c>
      <c r="Z120" s="164" t="str">
        <f t="shared" si="159"/>
        <v>0</v>
      </c>
      <c r="AA120" s="164" t="str">
        <f t="shared" ref="AA120:AB120" si="160">IF($C$12=2,(SUM(AA116:AA119)*$C$13)/100,"0")</f>
        <v>0</v>
      </c>
      <c r="AB120" s="164" t="str">
        <f t="shared" si="160"/>
        <v>0</v>
      </c>
      <c r="AC120" s="147">
        <f t="shared" si="158"/>
        <v>0</v>
      </c>
    </row>
    <row r="121" spans="17:30" ht="14.25" customHeight="1" thickBot="1" x14ac:dyDescent="0.25">
      <c r="Q121" s="318" t="s">
        <v>101</v>
      </c>
      <c r="R121" s="348">
        <f t="shared" si="152"/>
        <v>0</v>
      </c>
      <c r="S121" s="349">
        <f>+SUM(S116:S120)</f>
        <v>0</v>
      </c>
      <c r="T121" s="349">
        <f t="shared" ref="T121:Z121" si="161">+SUM(T116:T120)</f>
        <v>0</v>
      </c>
      <c r="U121" s="349">
        <f t="shared" si="161"/>
        <v>0</v>
      </c>
      <c r="V121" s="349">
        <f t="shared" si="161"/>
        <v>0</v>
      </c>
      <c r="W121" s="349">
        <f t="shared" si="161"/>
        <v>0</v>
      </c>
      <c r="X121" s="350">
        <f t="shared" si="161"/>
        <v>0</v>
      </c>
      <c r="Y121" s="314">
        <f t="shared" si="161"/>
        <v>0</v>
      </c>
      <c r="Z121" s="152">
        <f t="shared" si="161"/>
        <v>0</v>
      </c>
      <c r="AA121" s="152">
        <f t="shared" ref="AA121:AB121" si="162">+SUM(AA116:AA120)</f>
        <v>0</v>
      </c>
      <c r="AB121" s="152">
        <f t="shared" si="162"/>
        <v>0</v>
      </c>
      <c r="AC121" s="153">
        <f t="shared" si="158"/>
        <v>0</v>
      </c>
    </row>
    <row r="122" spans="17:30" x14ac:dyDescent="0.2">
      <c r="Q122" s="7"/>
      <c r="R122" s="7"/>
    </row>
    <row r="123" spans="17:30" x14ac:dyDescent="0.2">
      <c r="Q123" s="7"/>
      <c r="R123" s="7"/>
    </row>
    <row r="124" spans="17:30" x14ac:dyDescent="0.2">
      <c r="Q124" s="7"/>
      <c r="R124" s="7"/>
    </row>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sheetData>
  <mergeCells count="35">
    <mergeCell ref="BF19:BG19"/>
    <mergeCell ref="BF32:BG32"/>
    <mergeCell ref="BI19:BJ19"/>
    <mergeCell ref="BI32:BJ32"/>
    <mergeCell ref="AE32:AF32"/>
    <mergeCell ref="AH32:AI32"/>
    <mergeCell ref="AK32:AL32"/>
    <mergeCell ref="AN32:AO32"/>
    <mergeCell ref="AQ32:AR32"/>
    <mergeCell ref="AZ19:BA19"/>
    <mergeCell ref="AZ32:BA32"/>
    <mergeCell ref="BC19:BD19"/>
    <mergeCell ref="BC32:BD32"/>
    <mergeCell ref="AT19:AU19"/>
    <mergeCell ref="AW19:AX19"/>
    <mergeCell ref="AT32:AU32"/>
    <mergeCell ref="AW32:AX3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2">
    <dataValidation type="decimal" operator="lessThan" allowBlank="1" showInputMessage="1" showErrorMessage="1" errorTitle="Too high value" error="Value can't exceed 12 months" sqref="C20:L29 C33:L42" xr:uid="{7BA0F8CA-389F-4443-B0A8-BDEAC0CF344C}">
      <formula1>13</formula1>
    </dataValidation>
    <dataValidation type="date" allowBlank="1" showInputMessage="1" showErrorMessage="1" sqref="H9:I10 D9:D10 C9" xr:uid="{B1BAED33-219B-4B78-AB23-8B733D6B1B83}">
      <formula1>45292</formula1>
      <formula2>73050</formula2>
    </dataValidation>
  </dataValidations>
  <pageMargins left="0.15748031496062992" right="0.23622047244094491" top="0.27559055118110237" bottom="0.19685039370078741" header="0" footer="0"/>
  <pageSetup paperSize="9" scale="55" orientation="landscape" r:id="rId1"/>
  <headerFooter alignWithMargins="0">
    <oddFooter>&amp;R&amp;A
&amp;D</oddFooter>
  </headerFooter>
  <rowBreaks count="1" manualBreakCount="1">
    <brk id="108" max="16383" man="1"/>
  </rowBreaks>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A00-000000000000}">
          <x14:formula1>
            <xm:f>Takstblad!$A$5:$A$30</xm:f>
          </x14:formula1>
          <xm:sqref>A20:A29</xm:sqref>
        </x14:dataValidation>
        <x14:dataValidation type="list" allowBlank="1" showInputMessage="1" xr:uid="{953937EF-466A-41B1-A68C-422D38111C6E}">
          <x14:formula1>
            <xm:f>Lister!$O$4:$O$5</xm:f>
          </x14:formula1>
          <xm:sqref>C11</xm:sqref>
        </x14:dataValidation>
        <x14:dataValidation type="list" allowBlank="1" showInputMessage="1" showErrorMessage="1" errorTitle="Information" error="Please choose a department from the list" xr:uid="{00000000-0002-0000-0A00-000004000000}">
          <x14:formula1>
            <xm:f>Lister!$A$4:$A$16</xm:f>
          </x14:formula1>
          <xm:sqref>C2</xm:sqref>
        </x14:dataValidation>
        <x14:dataValidation type="list" allowBlank="1" showInputMessage="1" showErrorMessage="1" xr:uid="{A0538B7B-A218-4109-8F27-BC1CCDB7966B}">
          <x14:formula1>
            <xm:f>Lister!$M$4:$M$16</xm:f>
          </x14:formula1>
          <xm:sqref>A52:A62</xm:sqref>
        </x14:dataValidation>
        <x14:dataValidation type="list" errorStyle="warning" allowBlank="1" showInputMessage="1" showErrorMessage="1" errorTitle="Are you sure" error="You are about to select a number of hours that is not on the list. Are you sure you want to continue?" xr:uid="{0DAF420C-17A0-447B-A9E9-2569A38349C8}">
          <x14:formula1>
            <xm:f>Lister!$F$4:$F$10</xm:f>
          </x14:formula1>
          <xm:sqref>C7</xm:sqref>
        </x14:dataValidation>
        <x14:dataValidation type="list" allowBlank="1" showInputMessage="1" showErrorMessage="1" errorTitle="STOP" error="You can only select a value from the list." xr:uid="{74F59852-B208-4B4C-B7E1-37519AF9C0DB}">
          <x14:formula1>
            <xm:f>Lister!$I$4:$I$7</xm:f>
          </x14:formula1>
          <xm:sqref>G7:H7</xm:sqref>
        </x14:dataValidation>
        <x14:dataValidation type="list" allowBlank="1" showInputMessage="1" showErrorMessage="1" errorTitle="STOP" error="You can only select a value from the list." xr:uid="{367ABFCB-579E-434B-B4B2-639008C7FC26}">
          <x14:formula1>
            <xm:f>Lister!$A$32:$A$33</xm:f>
          </x14:formula1>
          <xm:sqref>H8 H15</xm:sqref>
        </x14:dataValidation>
        <x14:dataValidation type="list" allowBlank="1" showInputMessage="1" showErrorMessage="1" errorTitle="STOP" error="You can only select a value from the list." xr:uid="{617F15C9-C077-4C54-8C27-CE4F895CA864}">
          <x14:formula1>
            <xm:f>Lister!$A$41:$A$42</xm:f>
          </x14:formula1>
          <xm:sqref>C12</xm:sqref>
        </x14:dataValidation>
        <x14:dataValidation type="list" errorStyle="warning" allowBlank="1" showErrorMessage="1" errorTitle="Are you sure" error="You are about to select an EBIT that is different from 10. Are you sure you want to continue?" xr:uid="{7C5FDE1E-1C9B-4C9F-B3C6-A0C8AFC3FC70}">
          <x14:formula1>
            <xm:f>Lister!$A$45:$A$45</xm:f>
          </x14:formula1>
          <xm:sqref>C13</xm:sqref>
        </x14:dataValidation>
        <x14:dataValidation type="list" errorStyle="information" allowBlank="1" showInputMessage="1" xr:uid="{58009774-C984-433C-832C-AAF8F019A100}">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6E70156B-00F4-4324-B7AC-2A9887CEC679}">
          <x14:formula1>
            <xm:f>Lister!$A$32:$A$33</xm:f>
          </x14:formula1>
          <xm:sqref>C14:C16</xm:sqref>
        </x14:dataValidation>
        <x14:dataValidation type="list" allowBlank="1" showInputMessage="1" xr:uid="{09E0E20B-46D6-47D1-A5D2-95F759F5A6BD}">
          <x14:formula1>
            <xm:f>Lister!$O$4:$O$6</xm:f>
          </x14:formula1>
          <xm:sqref>C8:D8</xm:sqref>
        </x14:dataValidation>
        <x14:dataValidation type="list" allowBlank="1" showInputMessage="1" showErrorMessage="1" errorTitle="STOP" error="You can only select a value from the list." xr:uid="{1869BE9A-6C38-41F4-90F4-E1314A5EBC25}">
          <x14:formula1>
            <xm:f>Lister!$D$29:$D$32</xm:f>
          </x14:formula1>
          <xm:sqref>O20:P29 O33:P42 O52:P62</xm:sqref>
        </x14:dataValidation>
        <x14:dataValidation type="list" errorStyle="warning" allowBlank="1" showInputMessage="1" showErrorMessage="1" errorTitle="Are you sure" error="You are about to select an overhead rate that is not on the list. Are you sure you want to continue?" xr:uid="{35E577DC-0F97-47E9-B455-1DEEEB9CDE47}">
          <x14:formula1>
            <xm:f>Lister!$D$37:$D$43</xm:f>
          </x14:formula1>
          <xm:sqref>C6</xm:sqref>
        </x14:dataValidation>
        <x14:dataValidation type="list" allowBlank="1" showInputMessage="1" showErrorMessage="1" errorTitle="STOP" error="You can only select a value from the list." xr:uid="{A56C6D63-3CC3-4837-9720-7ADBE185ADA7}">
          <x14:formula1>
            <xm:f>Lister!$D$4:$D$7</xm:f>
          </x14:formula1>
          <xm:sqref>G6:H6</xm:sqref>
        </x14:dataValidation>
        <x14:dataValidation type="list" allowBlank="1" showInputMessage="1" xr:uid="{44406389-17BE-45D6-B2A6-7C109796A576}">
          <x14:formula1>
            <xm:f>Lister!$A$53:$A$54</xm:f>
          </x14:formula1>
          <xm:sqref>C10</xm:sqref>
        </x14:dataValidation>
        <x14:dataValidation type="list" allowBlank="1" showInputMessage="1" showErrorMessage="1" xr:uid="{1AEF2EFB-2C12-4A26-8503-DE4B150821B4}">
          <x14:formula1>
            <xm:f>Takstblad!$A$33:$A$42</xm:f>
          </x14:formula1>
          <xm:sqref>A33:A42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9">
    <tabColor theme="8" tint="0.59999389629810485"/>
  </sheetPr>
  <dimension ref="A1:BN142"/>
  <sheetViews>
    <sheetView showGridLines="0" showZeros="0" zoomScale="80" zoomScaleNormal="80" workbookViewId="0">
      <pane xSplit="2" ySplit="17" topLeftCell="C18" activePane="bottomRight" state="frozen"/>
      <selection activeCell="D30" sqref="D30:E30"/>
      <selection pane="topRight" activeCell="D30" sqref="D30:E30"/>
      <selection pane="bottomLeft" activeCell="D30" sqref="D30:E30"/>
      <selection pane="bottomRight" activeCell="C2" sqref="C2"/>
    </sheetView>
  </sheetViews>
  <sheetFormatPr defaultColWidth="16.875" defaultRowHeight="12.75" outlineLevelCol="1" x14ac:dyDescent="0.2"/>
  <cols>
    <col min="1" max="1" width="53.625" style="7" customWidth="1"/>
    <col min="2" max="2" width="11.75" style="7" hidden="1" customWidth="1"/>
    <col min="3" max="8" width="11.75" style="7" customWidth="1"/>
    <col min="9" max="12" width="11.75" style="7" hidden="1" customWidth="1" outlineLevel="1"/>
    <col min="13" max="13" width="39.625" style="7" customWidth="1" collapsed="1"/>
    <col min="14" max="14" width="26.875" style="7" customWidth="1"/>
    <col min="15" max="15" width="32.875" style="7" customWidth="1"/>
    <col min="16" max="16" width="6" style="7" customWidth="1"/>
    <col min="17" max="18" width="25.25" style="6" customWidth="1"/>
    <col min="19" max="24" width="12.75" style="7" customWidth="1"/>
    <col min="25" max="29" width="12.75" style="7" hidden="1" customWidth="1" outlineLevel="1"/>
    <col min="30" max="30" width="4.25" style="7" customWidth="1" collapsed="1"/>
    <col min="31" max="31" width="10.875" style="7" bestFit="1" customWidth="1"/>
    <col min="32" max="32" width="14.875" style="7" bestFit="1" customWidth="1"/>
    <col min="33" max="33" width="1.875" style="7" customWidth="1"/>
    <col min="34" max="34" width="10.875" style="7" bestFit="1" customWidth="1"/>
    <col min="35" max="35" width="14.875" style="7" bestFit="1" customWidth="1"/>
    <col min="36" max="36" width="1.875" style="7" customWidth="1"/>
    <col min="37" max="37" width="10.875" style="7" bestFit="1" customWidth="1"/>
    <col min="38" max="38" width="14.875" style="7" bestFit="1" customWidth="1"/>
    <col min="39" max="39" width="1.875" style="7" customWidth="1"/>
    <col min="40" max="40" width="10.875" style="7" bestFit="1" customWidth="1"/>
    <col min="41" max="41" width="14.875" style="7" bestFit="1" customWidth="1"/>
    <col min="42" max="42" width="1.875" style="7" customWidth="1"/>
    <col min="43" max="43" width="10.875" style="7" bestFit="1" customWidth="1"/>
    <col min="44" max="44" width="14.875" style="7" bestFit="1" customWidth="1"/>
    <col min="45" max="45" width="1.875" style="7" customWidth="1"/>
    <col min="46" max="46" width="10.875" style="7" bestFit="1" customWidth="1"/>
    <col min="47" max="47" width="14.875" style="7" bestFit="1" customWidth="1"/>
    <col min="48" max="48" width="1.875" style="7" customWidth="1"/>
    <col min="49" max="49" width="10.875" style="7" bestFit="1" customWidth="1"/>
    <col min="50" max="50" width="14.875" style="7" bestFit="1" customWidth="1"/>
    <col min="51" max="51" width="1.875" style="7" customWidth="1"/>
    <col min="52" max="52" width="10.875" style="7" hidden="1" customWidth="1" outlineLevel="1"/>
    <col min="53" max="53" width="14.875" style="7" hidden="1" customWidth="1" outlineLevel="1"/>
    <col min="54" max="54" width="1.875" style="7" hidden="1" customWidth="1" outlineLevel="1"/>
    <col min="55" max="55" width="10.875" style="7" hidden="1" customWidth="1" outlineLevel="1"/>
    <col min="56" max="56" width="14.875" style="7" hidden="1" customWidth="1" outlineLevel="1"/>
    <col min="57" max="57" width="1.875" style="7" hidden="1" customWidth="1" outlineLevel="1"/>
    <col min="58" max="58" width="10.875" style="7" hidden="1" customWidth="1" outlineLevel="1"/>
    <col min="59" max="59" width="14.875" style="7" hidden="1" customWidth="1" outlineLevel="1"/>
    <col min="60" max="60" width="1.875" style="7" hidden="1" customWidth="1" outlineLevel="1"/>
    <col min="61" max="61" width="10.875" style="7" hidden="1" customWidth="1" outlineLevel="1"/>
    <col min="62" max="62" width="14.875" style="7" hidden="1" customWidth="1" outlineLevel="1"/>
    <col min="63" max="63" width="16.875" style="7" collapsed="1"/>
    <col min="64" max="16384" width="16.875" style="7"/>
  </cols>
  <sheetData>
    <row r="1" spans="1:62" s="5" customFormat="1" ht="22.15" customHeight="1" x14ac:dyDescent="0.25">
      <c r="A1" s="40" t="s">
        <v>28</v>
      </c>
      <c r="B1" s="7"/>
      <c r="E1" s="359" t="s">
        <v>786</v>
      </c>
      <c r="I1" s="7"/>
      <c r="N1" s="359"/>
      <c r="Q1" s="16"/>
      <c r="R1" s="16"/>
    </row>
    <row r="2" spans="1:62" s="5" customFormat="1" ht="15.6" customHeight="1" x14ac:dyDescent="0.2">
      <c r="A2" s="360" t="s">
        <v>160</v>
      </c>
      <c r="B2" s="7"/>
      <c r="C2" s="291"/>
      <c r="D2" s="359"/>
      <c r="E2" s="359" t="s">
        <v>32</v>
      </c>
      <c r="I2" s="7"/>
      <c r="M2" s="364"/>
      <c r="N2" s="359"/>
      <c r="O2" s="359"/>
      <c r="P2" s="359"/>
      <c r="Q2" s="16"/>
      <c r="R2" s="16"/>
    </row>
    <row r="3" spans="1:62" s="5" customFormat="1" ht="15.6" customHeight="1" thickBot="1" x14ac:dyDescent="0.25">
      <c r="A3" s="360" t="s">
        <v>151</v>
      </c>
      <c r="B3" s="7"/>
      <c r="C3" s="495" t="str">
        <f>+'B1'!C3</f>
        <v>EU Horizon RIA ECE PhD Example</v>
      </c>
      <c r="D3" s="496"/>
      <c r="E3" s="496"/>
      <c r="F3" s="496"/>
      <c r="G3" s="496"/>
      <c r="H3" s="497"/>
      <c r="I3" s="69"/>
      <c r="J3" s="374"/>
      <c r="K3" s="374"/>
      <c r="L3" s="374"/>
      <c r="M3" s="188"/>
      <c r="N3" s="188"/>
      <c r="O3" s="372"/>
      <c r="P3" s="372"/>
      <c r="Q3" s="177"/>
      <c r="R3" s="177"/>
      <c r="S3" s="365"/>
      <c r="T3" s="188"/>
      <c r="U3" s="373"/>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60" t="s">
        <v>792</v>
      </c>
      <c r="B4" s="7"/>
      <c r="C4" s="498" t="str">
        <f>+'B1'!C4</f>
        <v>NN ECE</v>
      </c>
      <c r="D4" s="499"/>
      <c r="E4" s="499"/>
      <c r="F4" s="499"/>
      <c r="G4" s="499"/>
      <c r="H4" s="500"/>
      <c r="I4" s="69"/>
      <c r="J4" s="356"/>
      <c r="K4" s="356"/>
      <c r="L4" s="375"/>
      <c r="M4" s="352" t="s">
        <v>604</v>
      </c>
      <c r="N4" s="353">
        <f>IFERROR((R79-R74+R102-R116)/(R74-R102+R116),0)</f>
        <v>0</v>
      </c>
      <c r="O4" s="372"/>
      <c r="P4" s="372"/>
      <c r="Q4" s="177"/>
      <c r="R4" s="177"/>
      <c r="S4"/>
      <c r="T4" s="188"/>
      <c r="U4" s="373"/>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60" t="s">
        <v>659</v>
      </c>
      <c r="B5" s="7"/>
      <c r="C5" s="498"/>
      <c r="D5" s="499"/>
      <c r="E5" s="499"/>
      <c r="F5" s="499"/>
      <c r="G5" s="499"/>
      <c r="H5" s="500"/>
      <c r="I5" s="69"/>
      <c r="J5" s="356"/>
      <c r="K5" s="356"/>
      <c r="L5" s="376"/>
      <c r="M5" s="354" t="s">
        <v>660</v>
      </c>
      <c r="N5" s="355">
        <f>IFERROR((AC116/AC58),0)</f>
        <v>0</v>
      </c>
      <c r="O5" s="365"/>
      <c r="P5" s="365"/>
      <c r="Q5" s="177"/>
      <c r="R5" s="177"/>
      <c r="S5" s="188"/>
      <c r="T5" s="188"/>
      <c r="U5" s="373"/>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60" t="s">
        <v>29</v>
      </c>
      <c r="B6" s="7"/>
      <c r="C6" s="292">
        <f>IFERROR(IF(C12=Lister!A42,110,IF(C8=Lister!O5,5,VLOOKUP(C5,Lister!I20:O45,5,FALSE))),0)</f>
        <v>0</v>
      </c>
      <c r="D6" s="512" t="s">
        <v>31</v>
      </c>
      <c r="E6" s="513"/>
      <c r="F6" s="513"/>
      <c r="G6" s="516" t="str">
        <f>IFERROR(VLOOKUP(C5,Lister!I19:S45,9,FALSE),"Salary and operations")</f>
        <v>Salary and operations</v>
      </c>
      <c r="H6" s="521"/>
      <c r="I6" s="75"/>
      <c r="J6" s="356"/>
      <c r="K6" s="356"/>
      <c r="L6" s="376"/>
      <c r="M6" s="354" t="s">
        <v>724</v>
      </c>
      <c r="N6" s="355">
        <f>IFERROR(AC93/AC63,0)</f>
        <v>0</v>
      </c>
      <c r="O6" s="365"/>
      <c r="P6" s="365"/>
      <c r="Q6" s="177"/>
      <c r="R6" s="377"/>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60" t="s">
        <v>30</v>
      </c>
      <c r="B7" s="7"/>
      <c r="C7" s="292">
        <f>IFERROR(IF(C12=Lister!A42,1460,VLOOKUP(C5,Lister!I20:M45,3,FALSE)),0)</f>
        <v>0</v>
      </c>
      <c r="D7" s="504" t="s">
        <v>803</v>
      </c>
      <c r="E7" s="505"/>
      <c r="F7" s="506"/>
      <c r="G7" s="516" t="str">
        <f>IFERROR(VLOOKUP(C5,Lister!I19:S45,11,FALSE),"Salary and operations")</f>
        <v>Salary and operations</v>
      </c>
      <c r="H7" s="521"/>
      <c r="I7" s="72"/>
      <c r="J7" s="356"/>
      <c r="K7" s="356"/>
      <c r="L7" s="356"/>
      <c r="M7" s="356"/>
      <c r="N7" s="357"/>
      <c r="O7" s="365"/>
      <c r="P7" s="365"/>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498" t="str">
        <f>IFERROR((VLOOKUP(C5,Lister!I20:O45,7,FALSE)),"None")</f>
        <v>None</v>
      </c>
      <c r="D8" s="500"/>
      <c r="E8" s="4" t="s">
        <v>544</v>
      </c>
      <c r="F8" s="4"/>
      <c r="G8" s="366"/>
      <c r="H8" s="296"/>
      <c r="I8" s="69"/>
      <c r="J8" s="374"/>
      <c r="K8" s="374"/>
      <c r="L8" s="374"/>
      <c r="M8" s="4"/>
      <c r="N8" s="365"/>
      <c r="O8" s="365"/>
      <c r="P8" s="365"/>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61" t="s">
        <v>1137</v>
      </c>
      <c r="B9" s="232"/>
      <c r="C9" s="351">
        <f>+'B1'!C9</f>
        <v>0</v>
      </c>
      <c r="D9" s="367"/>
      <c r="E9" s="361"/>
      <c r="F9" s="361"/>
      <c r="G9" s="369" t="s">
        <v>1138</v>
      </c>
      <c r="H9" s="351">
        <f>+'B1'!H9</f>
        <v>0</v>
      </c>
      <c r="I9" s="271"/>
      <c r="J9" s="374"/>
      <c r="K9" s="374"/>
      <c r="L9" s="374"/>
      <c r="M9" s="365"/>
      <c r="N9" s="365"/>
      <c r="O9" s="365"/>
      <c r="P9" s="365"/>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1325</v>
      </c>
      <c r="B10" s="232"/>
      <c r="C10" s="293" t="str">
        <f>+IF(C2="FOOD","Yes","No")</f>
        <v>No</v>
      </c>
      <c r="D10" s="368"/>
      <c r="E10" s="361"/>
      <c r="F10" s="361"/>
      <c r="G10" s="369"/>
      <c r="H10" s="370"/>
      <c r="I10" s="117"/>
      <c r="J10" s="374"/>
      <c r="K10" s="374"/>
      <c r="L10" s="374"/>
      <c r="M10" s="371"/>
      <c r="N10" s="365"/>
      <c r="O10" s="365"/>
      <c r="P10" s="365"/>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149999999999999" customHeight="1" thickBot="1" x14ac:dyDescent="0.3">
      <c r="A11" s="362" t="s">
        <v>1313</v>
      </c>
      <c r="B11" s="273"/>
      <c r="C11" s="397"/>
      <c r="D11" s="398"/>
      <c r="E11" s="398"/>
      <c r="F11" s="398"/>
      <c r="G11" s="399"/>
      <c r="H11" s="399"/>
      <c r="I11" s="274"/>
      <c r="J11" s="379"/>
      <c r="K11" s="379"/>
      <c r="L11" s="379"/>
      <c r="M11" s="380"/>
      <c r="N11" s="380"/>
      <c r="O11" s="381"/>
      <c r="P11" s="382"/>
      <c r="Q11" s="383"/>
      <c r="R11" s="38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row>
    <row r="12" spans="1:62" s="5" customFormat="1" ht="15.6" customHeight="1" x14ac:dyDescent="0.2">
      <c r="A12" s="116" t="s">
        <v>804</v>
      </c>
      <c r="B12" s="7"/>
      <c r="C12" s="294"/>
      <c r="D12" s="505"/>
      <c r="E12" s="505"/>
      <c r="F12" s="505"/>
      <c r="G12" s="505"/>
      <c r="H12" s="400"/>
      <c r="I12" s="69"/>
      <c r="J12" s="518"/>
      <c r="K12" s="519"/>
      <c r="L12" s="519"/>
      <c r="M12" s="519"/>
      <c r="N12" s="519"/>
      <c r="O12" s="520"/>
      <c r="P12" s="384"/>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545</v>
      </c>
      <c r="B13" s="7"/>
      <c r="C13" s="295">
        <f>+IF(C12=2,10,0)</f>
        <v>0</v>
      </c>
      <c r="D13" s="504"/>
      <c r="E13" s="505"/>
      <c r="F13" s="505"/>
      <c r="G13" s="505"/>
      <c r="H13" s="401"/>
      <c r="I13" s="86"/>
      <c r="J13" s="404"/>
      <c r="K13" s="404"/>
      <c r="L13" s="404"/>
      <c r="M13" s="404"/>
      <c r="N13" s="404"/>
      <c r="O13" s="405"/>
      <c r="P13" s="404"/>
      <c r="Q13" s="388"/>
      <c r="R13" s="388"/>
      <c r="S13" s="388" t="s">
        <v>657</v>
      </c>
      <c r="T13" s="388"/>
      <c r="U13" s="388"/>
      <c r="V13" s="388"/>
      <c r="W13" s="388"/>
      <c r="X13" s="3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547</v>
      </c>
      <c r="B14" s="9"/>
      <c r="C14" s="295"/>
      <c r="D14" s="507" t="s">
        <v>765</v>
      </c>
      <c r="E14" s="508"/>
      <c r="F14" s="508"/>
      <c r="G14" s="508"/>
      <c r="H14" s="509"/>
      <c r="I14" s="297"/>
      <c r="J14" s="389"/>
      <c r="K14" s="390"/>
      <c r="L14" s="404"/>
      <c r="M14" s="404"/>
      <c r="N14" s="404"/>
      <c r="O14" s="405"/>
      <c r="P14" s="404"/>
      <c r="Q14" s="388"/>
      <c r="R14" s="388"/>
      <c r="S14" s="388"/>
      <c r="T14" s="388"/>
      <c r="U14" s="388"/>
      <c r="V14" s="388"/>
      <c r="W14" s="388"/>
      <c r="X14" s="3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548</v>
      </c>
      <c r="B15" s="7"/>
      <c r="C15" s="295"/>
      <c r="D15" s="403"/>
      <c r="E15" s="391"/>
      <c r="F15" s="391"/>
      <c r="G15" s="391"/>
      <c r="H15" s="391"/>
      <c r="I15" s="261"/>
      <c r="J15" s="391"/>
      <c r="K15" s="391"/>
      <c r="L15" s="384"/>
      <c r="M15" s="404"/>
      <c r="N15" s="404"/>
      <c r="O15" s="405"/>
      <c r="P15" s="404"/>
      <c r="Q15" s="388"/>
      <c r="R15" s="388"/>
      <c r="S15" s="388"/>
      <c r="T15" s="388"/>
      <c r="U15" s="388"/>
      <c r="V15" s="388"/>
      <c r="W15" s="388"/>
      <c r="X15" s="3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805</v>
      </c>
      <c r="B16" s="7"/>
      <c r="C16" s="295"/>
      <c r="D16" s="507" t="s">
        <v>766</v>
      </c>
      <c r="E16" s="510"/>
      <c r="F16" s="510"/>
      <c r="G16" s="510"/>
      <c r="H16" s="511"/>
      <c r="I16" s="298"/>
      <c r="J16" s="389"/>
      <c r="K16" s="390"/>
      <c r="L16" s="392"/>
      <c r="M16" s="392"/>
      <c r="N16" s="392"/>
      <c r="O16" s="393"/>
      <c r="P16" s="394"/>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ht="15.6" customHeight="1" thickBot="1" x14ac:dyDescent="0.3">
      <c r="A17" s="363"/>
      <c r="B17" s="117"/>
      <c r="C17" s="257"/>
      <c r="D17" s="118"/>
      <c r="E17" s="258"/>
      <c r="F17" s="258"/>
      <c r="G17" s="258"/>
      <c r="H17" s="259"/>
      <c r="I17" s="259"/>
      <c r="J17" s="259"/>
      <c r="K17" s="259"/>
      <c r="L17" s="259"/>
      <c r="M17" s="259"/>
      <c r="N17" s="259"/>
      <c r="O17" s="260"/>
      <c r="P17" s="126"/>
      <c r="Q17" s="71"/>
      <c r="R17" s="71"/>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row>
    <row r="18" spans="1:62" ht="15.6" customHeight="1" x14ac:dyDescent="0.2">
      <c r="A18" s="63"/>
      <c r="D18" s="9"/>
      <c r="V18" s="240" t="s">
        <v>658</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3" t="s">
        <v>34</v>
      </c>
      <c r="AF19" s="502"/>
      <c r="AH19" s="501">
        <f>+S19</f>
        <v>2025</v>
      </c>
      <c r="AI19" s="502"/>
      <c r="AJ19" s="232"/>
      <c r="AK19" s="503">
        <f>+T19</f>
        <v>2026</v>
      </c>
      <c r="AL19" s="502"/>
      <c r="AM19" s="232"/>
      <c r="AN19" s="503">
        <f>+U19</f>
        <v>2027</v>
      </c>
      <c r="AO19" s="502"/>
      <c r="AQ19" s="503">
        <f>+V19</f>
        <v>2028</v>
      </c>
      <c r="AR19" s="502"/>
      <c r="AS19" s="232"/>
      <c r="AT19" s="503">
        <f>+W19</f>
        <v>2029</v>
      </c>
      <c r="AU19" s="502"/>
      <c r="AW19" s="503">
        <f>+X19</f>
        <v>2030</v>
      </c>
      <c r="AX19" s="502"/>
      <c r="AY19" s="232"/>
      <c r="AZ19" s="503">
        <f>Y19</f>
        <v>2031</v>
      </c>
      <c r="BA19" s="502"/>
      <c r="BB19" s="232"/>
      <c r="BC19" s="503">
        <f>+Z19</f>
        <v>2032</v>
      </c>
      <c r="BD19" s="502"/>
      <c r="BE19" s="232"/>
      <c r="BF19" s="503">
        <f>+AA19</f>
        <v>2033</v>
      </c>
      <c r="BG19" s="502"/>
      <c r="BH19" s="232"/>
      <c r="BI19" s="503">
        <f>+AB19</f>
        <v>2034</v>
      </c>
      <c r="BJ19" s="502"/>
    </row>
    <row r="20" spans="1:62" ht="15.6" customHeight="1" x14ac:dyDescent="0.2">
      <c r="A20" s="223" t="s">
        <v>1314</v>
      </c>
      <c r="B20" s="224" t="str">
        <f>+VLOOKUP(A20,Takstblad!$A$5:$B$30,2,FALSE)</f>
        <v/>
      </c>
      <c r="C20" s="299"/>
      <c r="D20" s="299"/>
      <c r="E20" s="299"/>
      <c r="F20" s="299"/>
      <c r="G20" s="299"/>
      <c r="H20" s="299"/>
      <c r="I20" s="299"/>
      <c r="J20" s="299"/>
      <c r="K20" s="299"/>
      <c r="L20" s="299"/>
      <c r="M20" s="19">
        <f>SUM(C20:L20)</f>
        <v>0</v>
      </c>
      <c r="N20" s="299"/>
      <c r="O20" s="299" t="s">
        <v>113</v>
      </c>
      <c r="P20" s="223"/>
      <c r="Q20" s="225"/>
      <c r="R20" s="227">
        <f>+AC20</f>
        <v>0</v>
      </c>
      <c r="S20" s="226">
        <f>+IFERROR(IF(S$19=Takstblad!C$3,VLOOKUP('B4'!$A20,takstblad,3,FALSE)*'B4'!C20,"fejl i år"),0)</f>
        <v>0</v>
      </c>
      <c r="T20" s="226">
        <f>+IFERROR(IF(T$19=Takstblad!D$3,VLOOKUP('B4'!$A20,takstblad,4,FALSE)*'B4'!D20,"fejl i år"),0)</f>
        <v>0</v>
      </c>
      <c r="U20" s="226">
        <f>+IFERROR(IF(U$19=Takstblad!E$3,VLOOKUP('B4'!$A20,takstblad,5,FALSE)*'B4'!E20,"fejl i år"),0)</f>
        <v>0</v>
      </c>
      <c r="V20" s="226">
        <f>+IFERROR(IF(V$19=Takstblad!F$3,VLOOKUP('B4'!$A20,takstblad,6,FALSE)*'B4'!F20,"fejl i år"),0)</f>
        <v>0</v>
      </c>
      <c r="W20" s="226">
        <f>+IFERROR(IF(W$19=Takstblad!G$3,VLOOKUP('B4'!$A20,takstblad,7,FALSE)*'B4'!G20,"fejl i år"),0)</f>
        <v>0</v>
      </c>
      <c r="X20" s="226">
        <f>+IFERROR(IF(X$19=Takstblad!H$3,VLOOKUP('B4'!$A20,takstblad,8,FALSE)*'B4'!H20,"fejl i år"),0)</f>
        <v>0</v>
      </c>
      <c r="Y20" s="226">
        <f>+IFERROR(IF(Y$19=Takstblad!I$3,VLOOKUP('B4'!$A20,takstblad,9,FALSE)*'B4'!I20,"fejl i år"),0)</f>
        <v>0</v>
      </c>
      <c r="Z20" s="226">
        <f>+IFERROR(IF(Z$19=Takstblad!J$3,VLOOKUP('B4'!$A20,takstblad,10,FALSE)*'B4'!J20,"fejl i år"),0)</f>
        <v>0</v>
      </c>
      <c r="AA20" s="226">
        <f>+IFERROR(IF(AA$19=Takstblad!K$3,VLOOKUP('B4'!$A20,takstblad,10,FALSE)*'B4'!K20,"fejl i år"),0)</f>
        <v>0</v>
      </c>
      <c r="AB20" s="226">
        <f>+IFERROR(IF(AB$19=Takstblad!L$3,VLOOKUP('B4'!$A20,takstblad,10,FALSE)*'B4'!L20,"fejl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1314</v>
      </c>
      <c r="B21" s="4" t="str">
        <f>+VLOOKUP(A21,Takstblad!$A$5:$B$30,2,FALSE)</f>
        <v/>
      </c>
      <c r="C21" s="299"/>
      <c r="D21" s="299"/>
      <c r="E21" s="299"/>
      <c r="F21" s="299"/>
      <c r="G21" s="299"/>
      <c r="H21" s="299"/>
      <c r="I21" s="299"/>
      <c r="J21" s="299"/>
      <c r="K21" s="299"/>
      <c r="L21" s="299"/>
      <c r="M21" s="19">
        <f t="shared" ref="M21:M29" si="6">SUM(C21:L21)</f>
        <v>0</v>
      </c>
      <c r="N21" s="299"/>
      <c r="O21" s="299" t="s">
        <v>113</v>
      </c>
      <c r="Q21" s="24"/>
      <c r="R21" s="21">
        <f t="shared" ref="R21:R30" si="7">+AC21</f>
        <v>0</v>
      </c>
      <c r="S21" s="25">
        <f>+IFERROR(IF(S$19=Takstblad!C$3,VLOOKUP('B4'!$A21,takstblad,3,FALSE)*'B4'!C21,"fejl i år"),0)</f>
        <v>0</v>
      </c>
      <c r="T21" s="25">
        <f>+IFERROR(IF(T$19=Takstblad!D$3,VLOOKUP('B4'!$A21,takstblad,4,FALSE)*'B4'!D21,"fejl i år"),0)</f>
        <v>0</v>
      </c>
      <c r="U21" s="25">
        <f>+IFERROR(IF(U$19=Takstblad!E$3,VLOOKUP('B4'!$A21,takstblad,5,FALSE)*'B4'!E21,"fejl i år"),0)</f>
        <v>0</v>
      </c>
      <c r="V21" s="25">
        <f>+IFERROR(IF(V$19=Takstblad!F$3,VLOOKUP('B4'!$A21,takstblad,6,FALSE)*'B4'!F21,"fejl i år"),0)</f>
        <v>0</v>
      </c>
      <c r="W21" s="25">
        <f>+IFERROR(IF(W$19=Takstblad!G$3,VLOOKUP('B4'!$A21,takstblad,7,FALSE)*'B4'!G21,"fejl i år"),0)</f>
        <v>0</v>
      </c>
      <c r="X21" s="25">
        <f>+IFERROR(IF(X$19=Takstblad!H$3,VLOOKUP('B4'!$A21,takstblad,8,FALSE)*'B4'!H21,"fejl i år"),0)</f>
        <v>0</v>
      </c>
      <c r="Y21" s="25">
        <f>+IFERROR(IF(Y$19=Takstblad!I$3,VLOOKUP('B4'!$A21,takstblad,9,FALSE)*'B4'!I21,"fejl i år"),0)</f>
        <v>0</v>
      </c>
      <c r="Z21" s="25">
        <f>+IFERROR(IF(Z$19=Takstblad!J$3,VLOOKUP('B4'!$A21,takstblad,10,FALSE)*'B4'!J21,"fejl i år"),0)</f>
        <v>0</v>
      </c>
      <c r="AA21" s="25">
        <f>+IFERROR(IF(AA$19=Takstblad!K$3,VLOOKUP('B4'!$A21,takstblad,10,FALSE)*'B4'!K21,"fejl i år"),0)</f>
        <v>0</v>
      </c>
      <c r="AB21" s="25">
        <f>+IFERROR(IF(AB$19=Takstblad!L$3,VLOOKUP('B4'!$A21,takstblad,10,FALSE)*'B4'!L21,"fejl i år"),0)</f>
        <v>0</v>
      </c>
      <c r="AC21" s="21">
        <f t="shared" ref="AC21:AC30" si="8">SUM(S21:AB21)</f>
        <v>0</v>
      </c>
      <c r="AD21" s="232"/>
      <c r="AE21" s="25">
        <f t="shared" ref="AE21:AE29" si="9">+M21*($C$7/12)</f>
        <v>0</v>
      </c>
      <c r="AF21" s="25">
        <f t="shared" ref="AF21:AF30" si="10">IFERROR(AC21/AE21,0)</f>
        <v>0</v>
      </c>
      <c r="AG21" s="232"/>
      <c r="AH21" s="25">
        <f t="shared" ref="AH21:AH29" si="11">+C21*($C$7/12)</f>
        <v>0</v>
      </c>
      <c r="AI21" s="25">
        <f t="shared" ref="AI21:AI30" si="12">IFERROR(S21/AH21,0)</f>
        <v>0</v>
      </c>
      <c r="AJ21" s="232"/>
      <c r="AK21" s="25">
        <f t="shared" ref="AK21:AK29" si="13">+D21*($C$7/12)</f>
        <v>0</v>
      </c>
      <c r="AL21" s="25">
        <f t="shared" ref="AL21:AL30" si="14">IFERROR(T21/AK21,0)</f>
        <v>0</v>
      </c>
      <c r="AM21" s="232"/>
      <c r="AN21" s="25">
        <f t="shared" ref="AN21:AN29" si="15">+E21*($C$7/12)</f>
        <v>0</v>
      </c>
      <c r="AO21" s="25">
        <f t="shared" ref="AO21:AO30" si="16">IFERROR(U21/AN21,0)</f>
        <v>0</v>
      </c>
      <c r="AP21" s="232"/>
      <c r="AQ21" s="25">
        <f t="shared" ref="AQ21:AQ29" si="17">+F21*($C$7/12)</f>
        <v>0</v>
      </c>
      <c r="AR21" s="25">
        <f t="shared" ref="AR21:AR30" si="18">IFERROR(V21/AQ21,0)</f>
        <v>0</v>
      </c>
      <c r="AS21" s="232"/>
      <c r="AT21" s="25">
        <f t="shared" ref="AT21:AT29" si="19">+G21*($C$7/12)</f>
        <v>0</v>
      </c>
      <c r="AU21" s="25">
        <f t="shared" ref="AU21:AU30" si="20">IFERROR(W21/AT21,0)</f>
        <v>0</v>
      </c>
      <c r="AV21" s="232"/>
      <c r="AW21" s="25">
        <f t="shared" ref="AW21:AW29" si="21">+H21*($C$7/12)</f>
        <v>0</v>
      </c>
      <c r="AX21" s="25">
        <f t="shared" ref="AX21:AX30"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1314</v>
      </c>
      <c r="B22" s="224" t="str">
        <f>+VLOOKUP(A22,Takstblad!$A$5:$B$30,2,FALSE)</f>
        <v/>
      </c>
      <c r="C22" s="299"/>
      <c r="D22" s="299"/>
      <c r="E22" s="299"/>
      <c r="F22" s="299"/>
      <c r="G22" s="299"/>
      <c r="H22" s="299"/>
      <c r="I22" s="299"/>
      <c r="J22" s="299"/>
      <c r="K22" s="299"/>
      <c r="L22" s="299"/>
      <c r="M22" s="19">
        <f t="shared" si="6"/>
        <v>0</v>
      </c>
      <c r="N22" s="299"/>
      <c r="O22" s="299" t="s">
        <v>113</v>
      </c>
      <c r="P22" s="223"/>
      <c r="Q22" s="225"/>
      <c r="R22" s="227">
        <f t="shared" si="7"/>
        <v>0</v>
      </c>
      <c r="S22" s="226">
        <f>+IFERROR(IF(S$19=Takstblad!C$3,VLOOKUP('B4'!$A22,takstblad,3,FALSE)*'B4'!C22,"fejl i år"),0)</f>
        <v>0</v>
      </c>
      <c r="T22" s="226">
        <f>+IFERROR(IF(T$19=Takstblad!D$3,VLOOKUP('B4'!$A22,takstblad,4,FALSE)*'B4'!D22,"fejl i år"),0)</f>
        <v>0</v>
      </c>
      <c r="U22" s="226">
        <f>+IFERROR(IF(U$19=Takstblad!E$3,VLOOKUP('B4'!$A22,takstblad,5,FALSE)*'B4'!E22,"fejl i år"),0)</f>
        <v>0</v>
      </c>
      <c r="V22" s="226">
        <f>+IFERROR(IF(V$19=Takstblad!F$3,VLOOKUP('B4'!$A22,takstblad,6,FALSE)*'B4'!F22,"fejl i år"),0)</f>
        <v>0</v>
      </c>
      <c r="W22" s="226">
        <f>+IFERROR(IF(W$19=Takstblad!G$3,VLOOKUP('B4'!$A22,takstblad,7,FALSE)*'B4'!G22,"fejl i år"),0)</f>
        <v>0</v>
      </c>
      <c r="X22" s="226">
        <f>+IFERROR(IF(X$19=Takstblad!H$3,VLOOKUP('B4'!$A22,takstblad,8,FALSE)*'B4'!H22,"fejl i år"),0)</f>
        <v>0</v>
      </c>
      <c r="Y22" s="226">
        <f>+IFERROR(IF(Y$19=Takstblad!I$3,VLOOKUP('B4'!$A22,takstblad,9,FALSE)*'B4'!I22,"fejl i år"),0)</f>
        <v>0</v>
      </c>
      <c r="Z22" s="226">
        <f>+IFERROR(IF(Z$19=Takstblad!J$3,VLOOKUP('B4'!$A22,takstblad,10,FALSE)*'B4'!J22,"fejl i år"),0)</f>
        <v>0</v>
      </c>
      <c r="AA22" s="226">
        <f>+IFERROR(IF(AA$19=Takstblad!K$3,VLOOKUP('B4'!$A22,takstblad,10,FALSE)*'B4'!K22,"fejl i år"),0)</f>
        <v>0</v>
      </c>
      <c r="AB22" s="226">
        <f>+IFERROR(IF(AB$19=Takstblad!L$3,VLOOKUP('B4'!$A22,takstblad,10,FALSE)*'B4'!L22,"fejl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1314</v>
      </c>
      <c r="B23" s="4" t="str">
        <f>+VLOOKUP(A23,Takstblad!$A$5:$B$30,2,FALSE)</f>
        <v/>
      </c>
      <c r="C23" s="299"/>
      <c r="D23" s="299"/>
      <c r="E23" s="299"/>
      <c r="F23" s="299"/>
      <c r="G23" s="299"/>
      <c r="H23" s="299"/>
      <c r="I23" s="299"/>
      <c r="J23" s="299"/>
      <c r="K23" s="299"/>
      <c r="L23" s="299"/>
      <c r="M23" s="19">
        <f t="shared" si="6"/>
        <v>0</v>
      </c>
      <c r="N23" s="299"/>
      <c r="O23" s="299" t="s">
        <v>113</v>
      </c>
      <c r="Q23" s="16"/>
      <c r="R23" s="21">
        <f t="shared" si="7"/>
        <v>0</v>
      </c>
      <c r="S23" s="25">
        <f>+IFERROR(IF(S$19=Takstblad!C$3,VLOOKUP('B4'!$A23,takstblad,3,FALSE)*'B4'!C23,"fejl i år"),0)</f>
        <v>0</v>
      </c>
      <c r="T23" s="25">
        <f>+IFERROR(IF(T$19=Takstblad!D$3,VLOOKUP('B4'!$A23,takstblad,4,FALSE)*'B4'!D23,"fejl i år"),0)</f>
        <v>0</v>
      </c>
      <c r="U23" s="25">
        <f>+IFERROR(IF(U$19=Takstblad!E$3,VLOOKUP('B4'!$A23,takstblad,5,FALSE)*'B4'!E23,"fejl i år"),0)</f>
        <v>0</v>
      </c>
      <c r="V23" s="25">
        <f>+IFERROR(IF(V$19=Takstblad!F$3,VLOOKUP('B4'!$A23,takstblad,6,FALSE)*'B4'!F23,"fejl i år"),0)</f>
        <v>0</v>
      </c>
      <c r="W23" s="25">
        <f>+IFERROR(IF(W$19=Takstblad!G$3,VLOOKUP('B4'!$A23,takstblad,7,FALSE)*'B4'!G23,"fejl i år"),0)</f>
        <v>0</v>
      </c>
      <c r="X23" s="25">
        <f>+IFERROR(IF(X$19=Takstblad!H$3,VLOOKUP('B4'!$A23,takstblad,8,FALSE)*'B4'!H23,"fejl i år"),0)</f>
        <v>0</v>
      </c>
      <c r="Y23" s="25">
        <f>+IFERROR(IF(Y$19=Takstblad!I$3,VLOOKUP('B4'!$A23,takstblad,9,FALSE)*'B4'!I23,"fejl i år"),0)</f>
        <v>0</v>
      </c>
      <c r="Z23" s="25">
        <f>+IFERROR(IF(Z$19=Takstblad!J$3,VLOOKUP('B4'!$A23,takstblad,10,FALSE)*'B4'!J23,"fejl i år"),0)</f>
        <v>0</v>
      </c>
      <c r="AA23" s="25">
        <f>+IFERROR(IF(AA$19=Takstblad!K$3,VLOOKUP('B4'!$A23,takstblad,10,FALSE)*'B4'!K23,"fejl i år"),0)</f>
        <v>0</v>
      </c>
      <c r="AB23" s="25">
        <f>+IFERROR(IF(AB$19=Takstblad!L$3,VLOOKUP('B4'!$A23,takstblad,10,FALSE)*'B4'!L23,"fejl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1314</v>
      </c>
      <c r="B24" s="224" t="str">
        <f>+VLOOKUP(A24,Takstblad!$A$5:$B$30,2,FALSE)</f>
        <v/>
      </c>
      <c r="C24" s="299"/>
      <c r="D24" s="299"/>
      <c r="E24" s="299"/>
      <c r="F24" s="299"/>
      <c r="G24" s="299"/>
      <c r="H24" s="299"/>
      <c r="I24" s="299"/>
      <c r="J24" s="299"/>
      <c r="K24" s="299"/>
      <c r="L24" s="299"/>
      <c r="M24" s="19">
        <f t="shared" si="6"/>
        <v>0</v>
      </c>
      <c r="N24" s="299"/>
      <c r="O24" s="299" t="s">
        <v>113</v>
      </c>
      <c r="P24" s="223"/>
      <c r="Q24" s="225"/>
      <c r="R24" s="227">
        <f t="shared" si="7"/>
        <v>0</v>
      </c>
      <c r="S24" s="226">
        <f>+IFERROR(IF(S$19=Takstblad!C$3,VLOOKUP('B4'!$A24,takstblad,3,FALSE)*'B4'!C24,"fejl i år"),0)</f>
        <v>0</v>
      </c>
      <c r="T24" s="226">
        <f>+IFERROR(IF(T$19=Takstblad!D$3,VLOOKUP('B4'!$A24,takstblad,4,FALSE)*'B4'!D24,"fejl i år"),0)</f>
        <v>0</v>
      </c>
      <c r="U24" s="226">
        <f>+IFERROR(IF(U$19=Takstblad!E$3,VLOOKUP('B4'!$A24,takstblad,5,FALSE)*'B4'!E24,"fejl i år"),0)</f>
        <v>0</v>
      </c>
      <c r="V24" s="226">
        <f>+IFERROR(IF(V$19=Takstblad!F$3,VLOOKUP('B4'!$A24,takstblad,6,FALSE)*'B4'!F24,"fejl i år"),0)</f>
        <v>0</v>
      </c>
      <c r="W24" s="226">
        <f>+IFERROR(IF(W$19=Takstblad!G$3,VLOOKUP('B4'!$A24,takstblad,7,FALSE)*'B4'!G24,"fejl i år"),0)</f>
        <v>0</v>
      </c>
      <c r="X24" s="226">
        <f>+IFERROR(IF(X$19=Takstblad!H$3,VLOOKUP('B4'!$A24,takstblad,8,FALSE)*'B4'!H24,"fejl i år"),0)</f>
        <v>0</v>
      </c>
      <c r="Y24" s="226">
        <f>+IFERROR(IF(Y$19=Takstblad!I$3,VLOOKUP('B4'!$A24,takstblad,9,FALSE)*'B4'!I24,"fejl i år"),0)</f>
        <v>0</v>
      </c>
      <c r="Z24" s="226">
        <f>+IFERROR(IF(Z$19=Takstblad!J$3,VLOOKUP('B4'!$A24,takstblad,10,FALSE)*'B4'!J24,"fejl i år"),0)</f>
        <v>0</v>
      </c>
      <c r="AA24" s="226">
        <f>+IFERROR(IF(AA$19=Takstblad!K$3,VLOOKUP('B4'!$A24,takstblad,10,FALSE)*'B4'!K24,"fejl i år"),0)</f>
        <v>0</v>
      </c>
      <c r="AB24" s="226">
        <f>+IFERROR(IF(AB$19=Takstblad!L$3,VLOOKUP('B4'!$A24,takstblad,10,FALSE)*'B4'!L24,"fejl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1314</v>
      </c>
      <c r="B25" s="4" t="str">
        <f>+VLOOKUP(A25,Takstblad!$A$5:$B$30,2,FALSE)</f>
        <v/>
      </c>
      <c r="C25" s="299"/>
      <c r="D25" s="299"/>
      <c r="E25" s="299"/>
      <c r="F25" s="299"/>
      <c r="G25" s="299"/>
      <c r="H25" s="299"/>
      <c r="I25" s="299"/>
      <c r="J25" s="299"/>
      <c r="K25" s="299"/>
      <c r="L25" s="299"/>
      <c r="M25" s="19">
        <f t="shared" si="6"/>
        <v>0</v>
      </c>
      <c r="N25" s="299"/>
      <c r="O25" s="299" t="s">
        <v>113</v>
      </c>
      <c r="Q25" s="16"/>
      <c r="R25" s="21">
        <f t="shared" si="7"/>
        <v>0</v>
      </c>
      <c r="S25" s="25">
        <f>+IFERROR(IF(S$19=Takstblad!C$3,VLOOKUP('B4'!$A25,takstblad,3,FALSE)*'B4'!C25,"fejl i år"),0)</f>
        <v>0</v>
      </c>
      <c r="T25" s="25">
        <f>+IFERROR(IF(T$19=Takstblad!D$3,VLOOKUP('B4'!$A25,takstblad,4,FALSE)*'B4'!D25,"fejl i år"),0)</f>
        <v>0</v>
      </c>
      <c r="U25" s="25">
        <f>+IFERROR(IF(U$19=Takstblad!E$3,VLOOKUP('B4'!$A25,takstblad,5,FALSE)*'B4'!E25,"fejl i år"),0)</f>
        <v>0</v>
      </c>
      <c r="V25" s="25">
        <f>+IFERROR(IF(V$19=Takstblad!F$3,VLOOKUP('B4'!$A25,takstblad,6,FALSE)*'B4'!F25,"fejl i år"),0)</f>
        <v>0</v>
      </c>
      <c r="W25" s="25">
        <f>+IFERROR(IF(W$19=Takstblad!G$3,VLOOKUP('B4'!$A25,takstblad,7,FALSE)*'B4'!G25,"fejl i år"),0)</f>
        <v>0</v>
      </c>
      <c r="X25" s="25">
        <f>+IFERROR(IF(X$19=Takstblad!H$3,VLOOKUP('B4'!$A25,takstblad,8,FALSE)*'B4'!H25,"fejl i år"),0)</f>
        <v>0</v>
      </c>
      <c r="Y25" s="25">
        <f>+IFERROR(IF(Y$19=Takstblad!I$3,VLOOKUP('B4'!$A25,takstblad,9,FALSE)*'B4'!I25,"fejl i år"),0)</f>
        <v>0</v>
      </c>
      <c r="Z25" s="25">
        <f>+IFERROR(IF(Z$19=Takstblad!J$3,VLOOKUP('B4'!$A25,takstblad,10,FALSE)*'B4'!J25,"fejl i år"),0)</f>
        <v>0</v>
      </c>
      <c r="AA25" s="25">
        <f>+IFERROR(IF(AA$19=Takstblad!K$3,VLOOKUP('B4'!$A25,takstblad,10,FALSE)*'B4'!K25,"fejl i år"),0)</f>
        <v>0</v>
      </c>
      <c r="AB25" s="25">
        <f>+IFERROR(IF(AB$19=Takstblad!L$3,VLOOKUP('B4'!$A25,takstblad,10,FALSE)*'B4'!L25,"fejl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1314</v>
      </c>
      <c r="B26" s="224" t="str">
        <f>+VLOOKUP(A26,Takstblad!$A$5:$B$30,2,FALSE)</f>
        <v/>
      </c>
      <c r="C26" s="299"/>
      <c r="D26" s="299"/>
      <c r="E26" s="299"/>
      <c r="F26" s="299"/>
      <c r="G26" s="299"/>
      <c r="H26" s="299"/>
      <c r="I26" s="299"/>
      <c r="J26" s="299"/>
      <c r="K26" s="299"/>
      <c r="L26" s="299"/>
      <c r="M26" s="19">
        <f t="shared" si="6"/>
        <v>0</v>
      </c>
      <c r="N26" s="299"/>
      <c r="O26" s="299" t="s">
        <v>113</v>
      </c>
      <c r="P26" s="223"/>
      <c r="Q26" s="225"/>
      <c r="R26" s="227">
        <f t="shared" si="7"/>
        <v>0</v>
      </c>
      <c r="S26" s="226">
        <f>+IFERROR(IF(S$19=Takstblad!C$3,VLOOKUP('B4'!$A26,takstblad,3,FALSE)*'B4'!C26,"fejl i år"),0)</f>
        <v>0</v>
      </c>
      <c r="T26" s="226">
        <f>+IFERROR(IF(T$19=Takstblad!D$3,VLOOKUP('B4'!$A26,takstblad,4,FALSE)*'B4'!D26,"fejl i år"),0)</f>
        <v>0</v>
      </c>
      <c r="U26" s="226">
        <f>+IFERROR(IF(U$19=Takstblad!E$3,VLOOKUP('B4'!$A26,takstblad,5,FALSE)*'B4'!E26,"fejl i år"),0)</f>
        <v>0</v>
      </c>
      <c r="V26" s="226">
        <f>+IFERROR(IF(V$19=Takstblad!F$3,VLOOKUP('B4'!$A26,takstblad,6,FALSE)*'B4'!F26,"fejl i år"),0)</f>
        <v>0</v>
      </c>
      <c r="W26" s="226">
        <f>+IFERROR(IF(W$19=Takstblad!G$3,VLOOKUP('B4'!$A26,takstblad,7,FALSE)*'B4'!G26,"fejl i år"),0)</f>
        <v>0</v>
      </c>
      <c r="X26" s="226">
        <f>+IFERROR(IF(X$19=Takstblad!H$3,VLOOKUP('B4'!$A26,takstblad,8,FALSE)*'B4'!H26,"fejl i år"),0)</f>
        <v>0</v>
      </c>
      <c r="Y26" s="226">
        <f>+IFERROR(IF(Y$19=Takstblad!I$3,VLOOKUP('B4'!$A26,takstblad,9,FALSE)*'B4'!I26,"fejl i år"),0)</f>
        <v>0</v>
      </c>
      <c r="Z26" s="226">
        <f>+IFERROR(IF(Z$19=Takstblad!J$3,VLOOKUP('B4'!$A26,takstblad,10,FALSE)*'B4'!J26,"fejl i år"),0)</f>
        <v>0</v>
      </c>
      <c r="AA26" s="226">
        <f>+IFERROR(IF(AA$19=Takstblad!K$3,VLOOKUP('B4'!$A26,takstblad,10,FALSE)*'B4'!K26,"fejl i år"),0)</f>
        <v>0</v>
      </c>
      <c r="AB26" s="226">
        <f>+IFERROR(IF(AB$19=Takstblad!L$3,VLOOKUP('B4'!$A26,takstblad,10,FALSE)*'B4'!L26,"fejl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1314</v>
      </c>
      <c r="B27" s="4" t="str">
        <f>+VLOOKUP(A27,Takstblad!$A$5:$B$30,2,FALSE)</f>
        <v/>
      </c>
      <c r="C27" s="299"/>
      <c r="D27" s="299"/>
      <c r="E27" s="299"/>
      <c r="F27" s="299"/>
      <c r="G27" s="299"/>
      <c r="H27" s="299"/>
      <c r="I27" s="299"/>
      <c r="J27" s="299"/>
      <c r="K27" s="299"/>
      <c r="L27" s="299"/>
      <c r="M27" s="19">
        <f t="shared" si="6"/>
        <v>0</v>
      </c>
      <c r="N27" s="299"/>
      <c r="O27" s="299" t="s">
        <v>113</v>
      </c>
      <c r="Q27" s="16"/>
      <c r="R27" s="21">
        <f t="shared" si="7"/>
        <v>0</v>
      </c>
      <c r="S27" s="25">
        <f>+IFERROR(IF(S$19=Takstblad!C$3,VLOOKUP('B4'!$A27,takstblad,3,FALSE)*'B4'!C27,"fejl i år"),0)</f>
        <v>0</v>
      </c>
      <c r="T27" s="25">
        <f>+IFERROR(IF(T$19=Takstblad!D$3,VLOOKUP('B4'!$A27,takstblad,4,FALSE)*'B4'!D27,"fejl i år"),0)</f>
        <v>0</v>
      </c>
      <c r="U27" s="25">
        <f>+IFERROR(IF(U$19=Takstblad!E$3,VLOOKUP('B4'!$A27,takstblad,5,FALSE)*'B4'!E27,"fejl i år"),0)</f>
        <v>0</v>
      </c>
      <c r="V27" s="25">
        <f>+IFERROR(IF(V$19=Takstblad!F$3,VLOOKUP('B4'!$A27,takstblad,6,FALSE)*'B4'!F27,"fejl i år"),0)</f>
        <v>0</v>
      </c>
      <c r="W27" s="25">
        <f>+IFERROR(IF(W$19=Takstblad!G$3,VLOOKUP('B4'!$A27,takstblad,7,FALSE)*'B4'!G27,"fejl i år"),0)</f>
        <v>0</v>
      </c>
      <c r="X27" s="25">
        <f>+IFERROR(IF(X$19=Takstblad!H$3,VLOOKUP('B4'!$A27,takstblad,8,FALSE)*'B4'!H27,"fejl i år"),0)</f>
        <v>0</v>
      </c>
      <c r="Y27" s="25">
        <f>+IFERROR(IF(Y$19=Takstblad!I$3,VLOOKUP('B4'!$A27,takstblad,9,FALSE)*'B4'!I27,"fejl i år"),0)</f>
        <v>0</v>
      </c>
      <c r="Z27" s="25">
        <f>+IFERROR(IF(Z$19=Takstblad!J$3,VLOOKUP('B4'!$A27,takstblad,10,FALSE)*'B4'!J27,"fejl i år"),0)</f>
        <v>0</v>
      </c>
      <c r="AA27" s="25">
        <f>+IFERROR(IF(AA$19=Takstblad!K$3,VLOOKUP('B4'!$A27,takstblad,10,FALSE)*'B4'!K27,"fejl i år"),0)</f>
        <v>0</v>
      </c>
      <c r="AB27" s="25">
        <f>+IFERROR(IF(AB$19=Takstblad!L$3,VLOOKUP('B4'!$A27,takstblad,10,FALSE)*'B4'!L27,"fejl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1314</v>
      </c>
      <c r="B28" s="224" t="str">
        <f>+VLOOKUP(A28,Takstblad!$A$5:$B$30,2,FALSE)</f>
        <v/>
      </c>
      <c r="C28" s="299"/>
      <c r="D28" s="299"/>
      <c r="E28" s="299"/>
      <c r="F28" s="299"/>
      <c r="G28" s="299"/>
      <c r="H28" s="299"/>
      <c r="I28" s="299"/>
      <c r="J28" s="299"/>
      <c r="K28" s="299"/>
      <c r="L28" s="299"/>
      <c r="M28" s="19">
        <f t="shared" si="6"/>
        <v>0</v>
      </c>
      <c r="N28" s="299"/>
      <c r="O28" s="299" t="s">
        <v>113</v>
      </c>
      <c r="P28" s="223"/>
      <c r="Q28" s="225"/>
      <c r="R28" s="227">
        <f t="shared" si="7"/>
        <v>0</v>
      </c>
      <c r="S28" s="226">
        <f>+IFERROR(IF(S$19=Takstblad!C$3,VLOOKUP('B4'!$A28,takstblad,3,FALSE)*'B4'!C28,"fejl i år"),0)</f>
        <v>0</v>
      </c>
      <c r="T28" s="226">
        <f>+IFERROR(IF(T$19=Takstblad!D$3,VLOOKUP('B4'!$A28,takstblad,4,FALSE)*'B4'!D28,"fejl i år"),0)</f>
        <v>0</v>
      </c>
      <c r="U28" s="226">
        <f>+IFERROR(IF(U$19=Takstblad!E$3,VLOOKUP('B4'!$A28,takstblad,5,FALSE)*'B4'!E28,"fejl i år"),0)</f>
        <v>0</v>
      </c>
      <c r="V28" s="226">
        <f>+IFERROR(IF(V$19=Takstblad!F$3,VLOOKUP('B4'!$A28,takstblad,6,FALSE)*'B4'!F28,"fejl i år"),0)</f>
        <v>0</v>
      </c>
      <c r="W28" s="226">
        <f>+IFERROR(IF(W$19=Takstblad!G$3,VLOOKUP('B4'!$A28,takstblad,7,FALSE)*'B4'!G28,"fejl i år"),0)</f>
        <v>0</v>
      </c>
      <c r="X28" s="226">
        <f>+IFERROR(IF(X$19=Takstblad!H$3,VLOOKUP('B4'!$A28,takstblad,8,FALSE)*'B4'!H28,"fejl i år"),0)</f>
        <v>0</v>
      </c>
      <c r="Y28" s="226">
        <f>+IFERROR(IF(Y$19=Takstblad!I$3,VLOOKUP('B4'!$A28,takstblad,9,FALSE)*'B4'!I28,"fejl i år"),0)</f>
        <v>0</v>
      </c>
      <c r="Z28" s="226">
        <f>+IFERROR(IF(Z$19=Takstblad!J$3,VLOOKUP('B4'!$A28,takstblad,10,FALSE)*'B4'!J28,"fejl i år"),0)</f>
        <v>0</v>
      </c>
      <c r="AA28" s="226">
        <f>+IFERROR(IF(AA$19=Takstblad!K$3,VLOOKUP('B4'!$A28,takstblad,10,FALSE)*'B4'!K28,"fejl i år"),0)</f>
        <v>0</v>
      </c>
      <c r="AB28" s="226">
        <f>+IFERROR(IF(AB$19=Takstblad!L$3,VLOOKUP('B4'!$A28,takstblad,10,FALSE)*'B4'!L28,"fejl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1314</v>
      </c>
      <c r="B29" s="4" t="str">
        <f>+VLOOKUP(A29,Takstblad!$A$5:$B$30,2,FALSE)</f>
        <v/>
      </c>
      <c r="C29" s="299"/>
      <c r="D29" s="299"/>
      <c r="E29" s="299"/>
      <c r="F29" s="299"/>
      <c r="G29" s="299"/>
      <c r="H29" s="299"/>
      <c r="I29" s="300"/>
      <c r="J29" s="300"/>
      <c r="K29" s="300"/>
      <c r="L29" s="300"/>
      <c r="M29" s="47">
        <f t="shared" si="6"/>
        <v>0</v>
      </c>
      <c r="N29" s="299"/>
      <c r="O29" s="299" t="s">
        <v>113</v>
      </c>
      <c r="Q29" s="16"/>
      <c r="R29" s="21">
        <f t="shared" si="7"/>
        <v>0</v>
      </c>
      <c r="S29" s="25">
        <f>+IFERROR(IF(S$19=Takstblad!C$3,VLOOKUP('B4'!$A29,takstblad,3,FALSE)*'B4'!C29,"fejl i år"),0)</f>
        <v>0</v>
      </c>
      <c r="T29" s="25">
        <f>+IFERROR(IF(T$19=Takstblad!D$3,VLOOKUP('B4'!$A29,takstblad,4,FALSE)*'B4'!D29,"fejl i år"),0)</f>
        <v>0</v>
      </c>
      <c r="U29" s="25">
        <f>+IFERROR(IF(U$19=Takstblad!E$3,VLOOKUP('B4'!$A29,takstblad,5,FALSE)*'B4'!E29,"fejl i år"),0)</f>
        <v>0</v>
      </c>
      <c r="V29" s="25">
        <f>+IFERROR(IF(V$19=Takstblad!F$3,VLOOKUP('B4'!$A29,takstblad,6,FALSE)*'B4'!F29,"fejl i år"),0)</f>
        <v>0</v>
      </c>
      <c r="W29" s="25">
        <f>+IFERROR(IF(W$19=Takstblad!G$3,VLOOKUP('B4'!$A29,takstblad,7,FALSE)*'B4'!G29,"fejl i år"),0)</f>
        <v>0</v>
      </c>
      <c r="X29" s="25">
        <f>+IFERROR(IF(X$19=Takstblad!H$3,VLOOKUP('B4'!$A29,takstblad,8,FALSE)*'B4'!H29,"fejl i år"),0)</f>
        <v>0</v>
      </c>
      <c r="Y29" s="25">
        <f>+IFERROR(IF(Y$19=Takstblad!I$3,VLOOKUP('B4'!$A29,takstblad,9,FALSE)*'B4'!I29,"fejl i år"),0)</f>
        <v>0</v>
      </c>
      <c r="Z29" s="25">
        <f>+IFERROR(IF(Z$19=Takstblad!J$3,VLOOKUP('B4'!$A29,takstblad,10,FALSE)*'B4'!J29,"fejl i år"),0)</f>
        <v>0</v>
      </c>
      <c r="AA29" s="25">
        <f>+IFERROR(IF(AA$19=Takstblad!K$3,VLOOKUP('B4'!$A29,takstblad,10,FALSE)*'B4'!K29,"fejl i år"),0)</f>
        <v>0</v>
      </c>
      <c r="AB29" s="25">
        <f>+IFERROR(IF(AB$19=Takstblad!L$3,VLOOKUP('B4'!$A29,takstblad,10,FALSE)*'B4'!L29,"fejl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30" si="29">IFERROR(Z29/BC29,0)</f>
        <v>0</v>
      </c>
      <c r="BE29" s="232"/>
      <c r="BF29" s="25">
        <f t="shared" si="25"/>
        <v>0</v>
      </c>
      <c r="BG29" s="25">
        <f t="shared" si="26"/>
        <v>0</v>
      </c>
      <c r="BH29" s="232"/>
      <c r="BI29" s="25">
        <f t="shared" si="27"/>
        <v>0</v>
      </c>
      <c r="BJ29" s="25">
        <f t="shared" si="28"/>
        <v>0</v>
      </c>
    </row>
    <row r="30" spans="1:62" ht="15.6" customHeight="1" thickBot="1" x14ac:dyDescent="0.25">
      <c r="A30" s="4" t="s">
        <v>81</v>
      </c>
      <c r="B30" s="4"/>
      <c r="C30" s="49">
        <f t="shared" ref="C30:I30" si="30">SUM(C20:C29)</f>
        <v>0</v>
      </c>
      <c r="D30" s="49">
        <f t="shared" si="30"/>
        <v>0</v>
      </c>
      <c r="E30" s="49">
        <f t="shared" si="30"/>
        <v>0</v>
      </c>
      <c r="F30" s="49">
        <f t="shared" si="30"/>
        <v>0</v>
      </c>
      <c r="G30" s="49">
        <f t="shared" si="30"/>
        <v>0</v>
      </c>
      <c r="H30" s="49">
        <f t="shared" si="30"/>
        <v>0</v>
      </c>
      <c r="I30" s="64">
        <f t="shared" si="30"/>
        <v>0</v>
      </c>
      <c r="J30" s="64">
        <f>SUM(J20:J29)</f>
        <v>0</v>
      </c>
      <c r="K30" s="64">
        <f t="shared" ref="K30:L30" si="31">SUM(K20:K29)</f>
        <v>0</v>
      </c>
      <c r="L30" s="64">
        <f t="shared" si="31"/>
        <v>0</v>
      </c>
      <c r="M30" s="50">
        <f>SUM(M20:M29)</f>
        <v>0</v>
      </c>
      <c r="N30" s="50"/>
      <c r="O30" s="4"/>
      <c r="P30" s="4"/>
      <c r="Q30" s="23" t="s">
        <v>74</v>
      </c>
      <c r="R30" s="53">
        <f t="shared" si="7"/>
        <v>0</v>
      </c>
      <c r="S30" s="51">
        <f>SUM(S20:S29)</f>
        <v>0</v>
      </c>
      <c r="T30" s="13">
        <f t="shared" ref="T30:Z30" si="32">SUM(T20:T29)</f>
        <v>0</v>
      </c>
      <c r="U30" s="52">
        <f t="shared" si="32"/>
        <v>0</v>
      </c>
      <c r="V30" s="13">
        <f t="shared" si="32"/>
        <v>0</v>
      </c>
      <c r="W30" s="52">
        <f t="shared" si="32"/>
        <v>0</v>
      </c>
      <c r="X30" s="13">
        <f t="shared" si="32"/>
        <v>0</v>
      </c>
      <c r="Y30" s="66">
        <f t="shared" si="32"/>
        <v>0</v>
      </c>
      <c r="Z30" s="66">
        <f t="shared" si="32"/>
        <v>0</v>
      </c>
      <c r="AA30" s="66">
        <f t="shared" ref="AA30:AB30" si="33">SUM(AA20:AA29)</f>
        <v>0</v>
      </c>
      <c r="AB30" s="66">
        <f t="shared" si="33"/>
        <v>0</v>
      </c>
      <c r="AC30" s="53">
        <f t="shared" si="8"/>
        <v>0</v>
      </c>
      <c r="AD30" s="232"/>
      <c r="AE30" s="13">
        <f>SUM(AE20:AE29)</f>
        <v>0</v>
      </c>
      <c r="AF30" s="10">
        <f t="shared" si="10"/>
        <v>0</v>
      </c>
      <c r="AG30" s="232"/>
      <c r="AH30" s="13">
        <f>SUM(AH20:AH29)</f>
        <v>0</v>
      </c>
      <c r="AI30" s="10">
        <f t="shared" si="12"/>
        <v>0</v>
      </c>
      <c r="AJ30" s="233"/>
      <c r="AK30" s="13">
        <f>SUM(AK20:AK29)</f>
        <v>0</v>
      </c>
      <c r="AL30" s="10">
        <f t="shared" si="14"/>
        <v>0</v>
      </c>
      <c r="AM30" s="233"/>
      <c r="AN30" s="13">
        <f>SUM(AN20:AN29)</f>
        <v>0</v>
      </c>
      <c r="AO30" s="10">
        <f t="shared" si="16"/>
        <v>0</v>
      </c>
      <c r="AP30" s="232"/>
      <c r="AQ30" s="13">
        <f>SUM(AQ20:AQ29)</f>
        <v>0</v>
      </c>
      <c r="AR30" s="10">
        <f t="shared" si="18"/>
        <v>0</v>
      </c>
      <c r="AS30" s="232"/>
      <c r="AT30" s="13">
        <f>SUM(AT20:AT29)</f>
        <v>0</v>
      </c>
      <c r="AU30" s="10">
        <f t="shared" si="20"/>
        <v>0</v>
      </c>
      <c r="AV30" s="232"/>
      <c r="AW30" s="13">
        <f>SUM(AW20:AW29)</f>
        <v>0</v>
      </c>
      <c r="AX30" s="10">
        <f t="shared" si="22"/>
        <v>0</v>
      </c>
      <c r="AY30" s="232"/>
      <c r="AZ30" s="13">
        <f>SUM(AZ20:AZ29)</f>
        <v>0</v>
      </c>
      <c r="BA30" s="10">
        <f t="shared" ref="BA30" si="34">IFERROR(Z30/AZ30,0)</f>
        <v>0</v>
      </c>
      <c r="BB30" s="232"/>
      <c r="BC30" s="13">
        <f>SUM(BC20:BC29)</f>
        <v>0</v>
      </c>
      <c r="BD30" s="10">
        <f t="shared" si="29"/>
        <v>0</v>
      </c>
      <c r="BE30" s="232"/>
      <c r="BF30" s="13">
        <f>SUM(BF20:BF29)</f>
        <v>0</v>
      </c>
      <c r="BG30" s="10">
        <f t="shared" ref="BG30" si="35">IFERROR(AC30/BF30,0)</f>
        <v>0</v>
      </c>
      <c r="BH30" s="232"/>
      <c r="BI30" s="13">
        <f>SUM(BI20:BI29)</f>
        <v>0</v>
      </c>
      <c r="BJ30" s="10">
        <f t="shared" ref="BJ30" si="36">IFERROR(AF30/BI30,0)</f>
        <v>0</v>
      </c>
    </row>
    <row r="31" spans="1:62" ht="15.6" customHeight="1" x14ac:dyDescent="0.2">
      <c r="A31" s="4"/>
      <c r="B31" s="5"/>
      <c r="C31" s="5"/>
      <c r="D31" s="5"/>
      <c r="E31" s="5"/>
      <c r="F31" s="5"/>
      <c r="G31" s="5"/>
      <c r="H31" s="5"/>
      <c r="I31" s="5"/>
      <c r="J31" s="5"/>
      <c r="K31" s="5"/>
      <c r="L31" s="5"/>
      <c r="M31" s="5"/>
      <c r="N31" s="5"/>
      <c r="O31" s="5"/>
      <c r="P31" s="5"/>
      <c r="Q31" s="23"/>
      <c r="R31" s="5"/>
      <c r="S31" s="5"/>
      <c r="T31" s="5"/>
      <c r="U31" s="5"/>
      <c r="V31" s="5"/>
      <c r="W31" s="5"/>
      <c r="X31" s="5"/>
      <c r="Y31" s="5"/>
      <c r="Z31" s="5"/>
      <c r="AA31" s="5"/>
      <c r="AB31" s="5"/>
      <c r="AC31" s="5"/>
      <c r="AD31" s="232"/>
      <c r="AE31" s="5"/>
      <c r="AF31" s="5"/>
      <c r="AG31" s="232"/>
      <c r="AH31" s="5"/>
      <c r="AI31" s="5"/>
      <c r="AJ31" s="232"/>
      <c r="AK31" s="5"/>
      <c r="AL31" s="5"/>
      <c r="AM31" s="232"/>
      <c r="AN31" s="5"/>
      <c r="AO31" s="5"/>
      <c r="AP31" s="232"/>
      <c r="AQ31" s="5"/>
      <c r="AR31" s="5"/>
      <c r="AS31" s="232"/>
      <c r="AT31" s="5"/>
      <c r="AU31" s="5"/>
      <c r="AV31" s="232"/>
      <c r="AW31" s="5"/>
      <c r="AX31" s="5"/>
      <c r="AY31" s="232"/>
      <c r="AZ31" s="5"/>
      <c r="BA31" s="5"/>
      <c r="BB31" s="232"/>
      <c r="BC31" s="5"/>
      <c r="BD31" s="5"/>
      <c r="BE31" s="232"/>
      <c r="BF31" s="5"/>
      <c r="BG31" s="5"/>
      <c r="BH31" s="232"/>
      <c r="BI31" s="5"/>
      <c r="BJ31" s="5"/>
    </row>
    <row r="32" spans="1:62" s="9" customFormat="1" ht="15.6" customHeight="1" x14ac:dyDescent="0.2">
      <c r="A32" s="4" t="s">
        <v>80</v>
      </c>
      <c r="B32" s="8"/>
      <c r="C32" s="8">
        <f t="shared" ref="C32:L32" si="37">+C19</f>
        <v>2025</v>
      </c>
      <c r="D32" s="8">
        <f t="shared" si="37"/>
        <v>2026</v>
      </c>
      <c r="E32" s="8">
        <f t="shared" si="37"/>
        <v>2027</v>
      </c>
      <c r="F32" s="8">
        <f t="shared" si="37"/>
        <v>2028</v>
      </c>
      <c r="G32" s="8">
        <f t="shared" si="37"/>
        <v>2029</v>
      </c>
      <c r="H32" s="8">
        <f t="shared" si="37"/>
        <v>2030</v>
      </c>
      <c r="I32" s="8">
        <f t="shared" si="37"/>
        <v>2031</v>
      </c>
      <c r="J32" s="8">
        <f t="shared" si="37"/>
        <v>2032</v>
      </c>
      <c r="K32" s="8">
        <f t="shared" si="37"/>
        <v>2033</v>
      </c>
      <c r="L32" s="8">
        <f t="shared" si="37"/>
        <v>2034</v>
      </c>
      <c r="M32" s="8" t="s">
        <v>34</v>
      </c>
      <c r="N32" s="8"/>
      <c r="O32" s="8"/>
      <c r="P32" s="8"/>
      <c r="Q32" s="23" t="s">
        <v>82</v>
      </c>
      <c r="R32" s="8" t="s">
        <v>34</v>
      </c>
      <c r="S32" s="8">
        <f t="shared" ref="S32:AB32" si="38">+C19</f>
        <v>2025</v>
      </c>
      <c r="T32" s="8">
        <f t="shared" si="38"/>
        <v>2026</v>
      </c>
      <c r="U32" s="8">
        <f t="shared" si="38"/>
        <v>2027</v>
      </c>
      <c r="V32" s="8">
        <f t="shared" si="38"/>
        <v>2028</v>
      </c>
      <c r="W32" s="8">
        <f t="shared" si="38"/>
        <v>2029</v>
      </c>
      <c r="X32" s="8">
        <f t="shared" si="38"/>
        <v>2030</v>
      </c>
      <c r="Y32" s="8">
        <f t="shared" si="38"/>
        <v>2031</v>
      </c>
      <c r="Z32" s="8">
        <f t="shared" si="38"/>
        <v>2032</v>
      </c>
      <c r="AA32" s="8">
        <f t="shared" si="38"/>
        <v>2033</v>
      </c>
      <c r="AB32" s="8">
        <f t="shared" si="38"/>
        <v>2034</v>
      </c>
      <c r="AC32" s="8" t="s">
        <v>34</v>
      </c>
      <c r="AD32" s="233"/>
      <c r="AE32" s="503" t="s">
        <v>34</v>
      </c>
      <c r="AF32" s="502"/>
      <c r="AG32" s="232"/>
      <c r="AH32" s="501">
        <f>+AH19</f>
        <v>2025</v>
      </c>
      <c r="AI32" s="502"/>
      <c r="AJ32" s="232"/>
      <c r="AK32" s="501">
        <f>+AK19</f>
        <v>2026</v>
      </c>
      <c r="AL32" s="502"/>
      <c r="AM32" s="232"/>
      <c r="AN32" s="501">
        <f>+AN19</f>
        <v>2027</v>
      </c>
      <c r="AO32" s="502"/>
      <c r="AP32" s="232"/>
      <c r="AQ32" s="501">
        <f>+AQ19</f>
        <v>2028</v>
      </c>
      <c r="AR32" s="502"/>
      <c r="AS32" s="232"/>
      <c r="AT32" s="501">
        <f>+AT19</f>
        <v>2029</v>
      </c>
      <c r="AU32" s="502"/>
      <c r="AV32" s="232"/>
      <c r="AW32" s="501">
        <f>+AW19</f>
        <v>2030</v>
      </c>
      <c r="AX32" s="502"/>
      <c r="AY32" s="232"/>
      <c r="AZ32" s="501">
        <f>+AZ19</f>
        <v>2031</v>
      </c>
      <c r="BA32" s="502"/>
      <c r="BB32" s="232"/>
      <c r="BC32" s="501">
        <f>+BC19</f>
        <v>2032</v>
      </c>
      <c r="BD32" s="502"/>
      <c r="BE32" s="232"/>
      <c r="BF32" s="501">
        <f>+BF19</f>
        <v>2033</v>
      </c>
      <c r="BG32" s="502"/>
      <c r="BH32" s="232"/>
      <c r="BI32" s="501">
        <f>+BI19</f>
        <v>2034</v>
      </c>
      <c r="BJ32" s="502"/>
    </row>
    <row r="33" spans="1:66" ht="15.6" customHeight="1" x14ac:dyDescent="0.2">
      <c r="A33" s="223" t="s">
        <v>1314</v>
      </c>
      <c r="B33" s="224">
        <f>+VLOOKUP(A33,Takstblad!$A$33:$B$51,2,FALSE)</f>
        <v>0</v>
      </c>
      <c r="C33" s="299"/>
      <c r="D33" s="299"/>
      <c r="E33" s="299"/>
      <c r="F33" s="299"/>
      <c r="G33" s="299"/>
      <c r="H33" s="299"/>
      <c r="I33" s="299"/>
      <c r="J33" s="299"/>
      <c r="K33" s="299"/>
      <c r="L33" s="299"/>
      <c r="M33" s="19">
        <f>SUM(C33:L33)</f>
        <v>0</v>
      </c>
      <c r="N33" s="299"/>
      <c r="O33" s="299" t="s">
        <v>113</v>
      </c>
      <c r="P33" s="223"/>
      <c r="Q33" s="229"/>
      <c r="R33" s="227">
        <f t="shared" ref="R33:R46" si="39">+AC33</f>
        <v>0</v>
      </c>
      <c r="S33" s="226">
        <f>+IFERROR(IF(S$19=Takstblad!C$3,VLOOKUP('B4'!$A33,takstblad,3,FALSE)*'B4'!C33,"fejl i år"),0)</f>
        <v>0</v>
      </c>
      <c r="T33" s="226">
        <f>+IFERROR(IF(T$19=Takstblad!D$3,VLOOKUP('B4'!$A33,takstblad,4,FALSE)*'B4'!D33,"fejl i år"),0)</f>
        <v>0</v>
      </c>
      <c r="U33" s="226">
        <f>+IFERROR(IF(U$19=Takstblad!E$3,VLOOKUP('B4'!$A33,takstblad,5,FALSE)*'B4'!E33,"fejl i år"),0)</f>
        <v>0</v>
      </c>
      <c r="V33" s="226">
        <f>+IFERROR(IF(V$19=Takstblad!F$3,VLOOKUP('B4'!$A33,takstblad,6,FALSE)*'B4'!F33,"fejl i år"),0)</f>
        <v>0</v>
      </c>
      <c r="W33" s="226">
        <f>+IFERROR(IF(W$19=Takstblad!G$3,VLOOKUP('B4'!$A33,takstblad,7,FALSE)*'B4'!G33,"fejl i år"),0)</f>
        <v>0</v>
      </c>
      <c r="X33" s="226">
        <f>+IFERROR(IF(X$19=Takstblad!H$3,VLOOKUP('B4'!$A33,takstblad,8,FALSE)*'B4'!H33,"fejl i år"),0)</f>
        <v>0</v>
      </c>
      <c r="Y33" s="226">
        <f>+IFERROR(IF(Y$19=Takstblad!I$3,VLOOKUP('B4'!$A33,takstblad,9,FALSE)*'B4'!I33,"fejl i år"),0)</f>
        <v>0</v>
      </c>
      <c r="Z33" s="226">
        <f>+IFERROR(IF(Z$19=Takstblad!J$3,VLOOKUP('B4'!$A33,takstblad,10,FALSE)*'B4'!J33,"fejl i år"),0)</f>
        <v>0</v>
      </c>
      <c r="AA33" s="226">
        <f>+IFERROR(IF(AA$19=Takstblad!K$3,VLOOKUP('B4'!$A33,takstblad,10,FALSE)*'B4'!K33,"fejl i år"),0)</f>
        <v>0</v>
      </c>
      <c r="AB33" s="226">
        <f>+IFERROR(IF(AB$19=Takstblad!L$3,VLOOKUP('B4'!$A33,takstblad,10,FALSE)*'B4'!L33,"fejl i år"),0)</f>
        <v>0</v>
      </c>
      <c r="AC33" s="227">
        <f>SUM(S33:AB33)</f>
        <v>0</v>
      </c>
      <c r="AD33" s="232"/>
      <c r="AE33" s="228">
        <f t="shared" ref="AE33:AE42" si="40">+M33*($C$7/12)</f>
        <v>0</v>
      </c>
      <c r="AF33" s="228">
        <f t="shared" ref="AF33:AF43" si="41">IFERROR(AC33/AE33,0)</f>
        <v>0</v>
      </c>
      <c r="AG33" s="232"/>
      <c r="AH33" s="228">
        <f t="shared" ref="AH33:AH43" si="42">+C33*($C$7/12)</f>
        <v>0</v>
      </c>
      <c r="AI33" s="228">
        <f t="shared" ref="AI33:AI46" si="43">IFERROR(S33/AH33,0)</f>
        <v>0</v>
      </c>
      <c r="AJ33" s="232"/>
      <c r="AK33" s="226">
        <f t="shared" ref="AK33:AK43" si="44">+D33*($C$7/12)</f>
        <v>0</v>
      </c>
      <c r="AL33" s="226">
        <f t="shared" ref="AL33:AL46" si="45">IFERROR(T33/AK33,0)</f>
        <v>0</v>
      </c>
      <c r="AM33" s="232"/>
      <c r="AN33" s="226">
        <f t="shared" ref="AN33:AN43" si="46">+E33*($C$7/12)</f>
        <v>0</v>
      </c>
      <c r="AO33" s="226">
        <f t="shared" ref="AO33:AO46" si="47">IFERROR(U33/AN33,0)</f>
        <v>0</v>
      </c>
      <c r="AP33" s="232"/>
      <c r="AQ33" s="226">
        <f t="shared" ref="AQ33:AQ43" si="48">+F33*($C$7/12)</f>
        <v>0</v>
      </c>
      <c r="AR33" s="226">
        <f t="shared" ref="AR33:AR46" si="49">IFERROR(V33/AQ33,0)</f>
        <v>0</v>
      </c>
      <c r="AS33" s="232"/>
      <c r="AT33" s="226">
        <f t="shared" ref="AT33:AT43" si="50">+G33*($C$7/12)</f>
        <v>0</v>
      </c>
      <c r="AU33" s="226">
        <f t="shared" ref="AU33:AU46" si="51">IFERROR(W33/AT33,0)</f>
        <v>0</v>
      </c>
      <c r="AV33" s="232"/>
      <c r="AW33" s="226">
        <f t="shared" ref="AW33:AW43" si="52">+H33*($C$7/12)</f>
        <v>0</v>
      </c>
      <c r="AX33" s="226">
        <f t="shared" ref="AX33:AX46" si="53">IFERROR(X33/AW33,0)</f>
        <v>0</v>
      </c>
      <c r="AY33" s="232"/>
      <c r="AZ33" s="226">
        <f>+I33*($C$7/12)</f>
        <v>0</v>
      </c>
      <c r="BA33" s="226">
        <f>IFERROR(Y33/AZ33,0)</f>
        <v>0</v>
      </c>
      <c r="BB33" s="232"/>
      <c r="BC33" s="226">
        <f>+J33*($C$7/12)</f>
        <v>0</v>
      </c>
      <c r="BD33" s="226">
        <f>IFERROR(Z33/BC33,0)</f>
        <v>0</v>
      </c>
      <c r="BE33" s="232"/>
      <c r="BF33" s="226">
        <f>+K33*($C$7/12)</f>
        <v>0</v>
      </c>
      <c r="BG33" s="226">
        <f>IFERROR(AB33/BF33,0)</f>
        <v>0</v>
      </c>
      <c r="BH33" s="232"/>
      <c r="BI33" s="226">
        <f>+L33*($C$7/12)</f>
        <v>0</v>
      </c>
      <c r="BJ33" s="226">
        <f>IFERROR(AB33/BI33,0)</f>
        <v>0</v>
      </c>
    </row>
    <row r="34" spans="1:66" ht="15.6" customHeight="1" x14ac:dyDescent="0.2">
      <c r="A34" s="7" t="s">
        <v>1314</v>
      </c>
      <c r="B34" s="4">
        <f>+VLOOKUP(A34,Takstblad!$A$33:$B$51,2,FALSE)</f>
        <v>0</v>
      </c>
      <c r="C34" s="301"/>
      <c r="D34" s="299"/>
      <c r="E34" s="299"/>
      <c r="F34" s="299"/>
      <c r="G34" s="299"/>
      <c r="H34" s="299"/>
      <c r="I34" s="299"/>
      <c r="J34" s="299"/>
      <c r="K34" s="299"/>
      <c r="L34" s="299"/>
      <c r="M34" s="19">
        <f t="shared" ref="M34:M46" si="54">SUM(C34:L34)</f>
        <v>0</v>
      </c>
      <c r="N34" s="299"/>
      <c r="O34" s="299" t="s">
        <v>113</v>
      </c>
      <c r="Q34" s="26"/>
      <c r="R34" s="21">
        <f>+AC34</f>
        <v>0</v>
      </c>
      <c r="S34" s="25">
        <f>+IFERROR(IF(S$19=Takstblad!C$3,VLOOKUP('B4'!$A34,takstblad,3,FALSE)*'B4'!C34,"fejl i år"),0)</f>
        <v>0</v>
      </c>
      <c r="T34" s="25">
        <f>+IFERROR(IF(T$19=Takstblad!D$3,VLOOKUP('B4'!$A34,takstblad,4,FALSE)*'B4'!D34,"fejl i år"),0)</f>
        <v>0</v>
      </c>
      <c r="U34" s="25">
        <f>+IFERROR(IF(U$19=Takstblad!E$3,VLOOKUP('B4'!$A34,takstblad,5,FALSE)*'B4'!E34,"fejl i år"),0)</f>
        <v>0</v>
      </c>
      <c r="V34" s="25">
        <f>+IFERROR(IF(V$19=Takstblad!F$3,VLOOKUP('B4'!$A34,takstblad,6,FALSE)*'B4'!F34,"fejl i år"),0)</f>
        <v>0</v>
      </c>
      <c r="W34" s="25">
        <f>+IFERROR(IF(W$19=Takstblad!G$3,VLOOKUP('B4'!$A34,takstblad,7,FALSE)*'B4'!G34,"fejl i år"),0)</f>
        <v>0</v>
      </c>
      <c r="X34" s="25">
        <f>+IFERROR(IF(X$19=Takstblad!H$3,VLOOKUP('B4'!$A34,takstblad,8,FALSE)*'B4'!H34,"fejl i år"),0)</f>
        <v>0</v>
      </c>
      <c r="Y34" s="25">
        <f>+IFERROR(IF(Y$19=Takstblad!I$3,VLOOKUP('B4'!$A34,takstblad,9,FALSE)*'B4'!I34,"fejl i år"),0)</f>
        <v>0</v>
      </c>
      <c r="Z34" s="25">
        <f>+IFERROR(IF(Z$19=Takstblad!J$3,VLOOKUP('B4'!$A34,takstblad,10,FALSE)*'B4'!J34,"fejl i år"),0)</f>
        <v>0</v>
      </c>
      <c r="AA34" s="25">
        <f>+IFERROR(IF(AA$19=Takstblad!K$3,VLOOKUP('B4'!$A34,takstblad,10,FALSE)*'B4'!K34,"fejl i år"),0)</f>
        <v>0</v>
      </c>
      <c r="AB34" s="25">
        <f>+IFERROR(IF(AB$19=Takstblad!L$3,VLOOKUP('B4'!$A34,takstblad,10,FALSE)*'B4'!L34,"fejl i år"),0)</f>
        <v>0</v>
      </c>
      <c r="AC34" s="21">
        <f t="shared" ref="AC34:AC46" si="55">SUM(S34:AB34)</f>
        <v>0</v>
      </c>
      <c r="AD34" s="232"/>
      <c r="AE34" s="25">
        <f t="shared" si="40"/>
        <v>0</v>
      </c>
      <c r="AF34" s="25">
        <f t="shared" si="41"/>
        <v>0</v>
      </c>
      <c r="AG34" s="232"/>
      <c r="AH34" s="25">
        <f t="shared" si="42"/>
        <v>0</v>
      </c>
      <c r="AI34" s="25">
        <f t="shared" si="43"/>
        <v>0</v>
      </c>
      <c r="AJ34" s="232"/>
      <c r="AK34" s="25">
        <f t="shared" si="44"/>
        <v>0</v>
      </c>
      <c r="AL34" s="25">
        <f t="shared" si="45"/>
        <v>0</v>
      </c>
      <c r="AM34" s="232"/>
      <c r="AN34" s="25">
        <f t="shared" si="46"/>
        <v>0</v>
      </c>
      <c r="AO34" s="25">
        <f t="shared" si="47"/>
        <v>0</v>
      </c>
      <c r="AP34" s="232"/>
      <c r="AQ34" s="25">
        <f t="shared" si="48"/>
        <v>0</v>
      </c>
      <c r="AR34" s="25">
        <f t="shared" si="49"/>
        <v>0</v>
      </c>
      <c r="AS34" s="232"/>
      <c r="AT34" s="25">
        <f>+G34*($C$7/12)</f>
        <v>0</v>
      </c>
      <c r="AU34" s="25">
        <f>IFERROR(W34/AT34,0)</f>
        <v>0</v>
      </c>
      <c r="AV34" s="232"/>
      <c r="AW34" s="25">
        <f t="shared" si="52"/>
        <v>0</v>
      </c>
      <c r="AX34" s="25">
        <f t="shared" si="53"/>
        <v>0</v>
      </c>
      <c r="AY34" s="232"/>
      <c r="AZ34" s="25">
        <f t="shared" ref="AZ34:AZ43" si="56">+I34*($C$7/12)</f>
        <v>0</v>
      </c>
      <c r="BA34" s="25">
        <f t="shared" ref="BA34:BA46" si="57">IFERROR(Y34/AZ34,0)</f>
        <v>0</v>
      </c>
      <c r="BB34" s="232"/>
      <c r="BC34" s="25">
        <f t="shared" ref="BC34:BC43" si="58">+J34*($C$7/12)</f>
        <v>0</v>
      </c>
      <c r="BD34" s="25">
        <f t="shared" ref="BD34:BD46" si="59">IFERROR(Z34/BC34,0)</f>
        <v>0</v>
      </c>
      <c r="BE34" s="232"/>
      <c r="BF34" s="25">
        <f t="shared" ref="BF34:BF45" si="60">+K34*($C$7/12)</f>
        <v>0</v>
      </c>
      <c r="BG34" s="25">
        <f t="shared" ref="BG34:BG45" si="61">IFERROR(AB34/BF34,0)</f>
        <v>0</v>
      </c>
      <c r="BH34" s="232"/>
      <c r="BI34" s="25">
        <f t="shared" ref="BI34:BI45" si="62">+L34*($C$7/12)</f>
        <v>0</v>
      </c>
      <c r="BJ34" s="25">
        <f t="shared" ref="BJ34:BJ45" si="63">IFERROR(AB34/BI34,0)</f>
        <v>0</v>
      </c>
    </row>
    <row r="35" spans="1:66" ht="15.6" customHeight="1" x14ac:dyDescent="0.2">
      <c r="A35" s="223" t="s">
        <v>1314</v>
      </c>
      <c r="B35" s="224">
        <f>+VLOOKUP(A35,Takstblad!$A$33:$B$51,2,FALSE)</f>
        <v>0</v>
      </c>
      <c r="C35" s="299"/>
      <c r="D35" s="299"/>
      <c r="E35" s="299"/>
      <c r="F35" s="299"/>
      <c r="G35" s="299"/>
      <c r="H35" s="299"/>
      <c r="I35" s="299"/>
      <c r="J35" s="299"/>
      <c r="K35" s="299"/>
      <c r="L35" s="299"/>
      <c r="M35" s="19">
        <f t="shared" si="54"/>
        <v>0</v>
      </c>
      <c r="N35" s="299"/>
      <c r="O35" s="299" t="s">
        <v>113</v>
      </c>
      <c r="P35" s="223"/>
      <c r="Q35" s="229"/>
      <c r="R35" s="227">
        <f>+AC35</f>
        <v>0</v>
      </c>
      <c r="S35" s="226">
        <f>+IFERROR(IF(S$19=Takstblad!C$3,VLOOKUP('B1'!$A35,takstblad,3,FALSE)*'B1'!C35,"fejl i år"),0)</f>
        <v>0</v>
      </c>
      <c r="T35" s="226">
        <f>+IFERROR(IF(T$19=Takstblad!D$3,VLOOKUP('B4'!$A35,takstblad,4,FALSE)*'B4'!D35,"fejl i år"),0)</f>
        <v>0</v>
      </c>
      <c r="U35" s="226">
        <f>+IFERROR(IF(U$19=Takstblad!E$3,VLOOKUP('B4'!$A35,takstblad,5,FALSE)*'B4'!E35,"fejl i år"),0)</f>
        <v>0</v>
      </c>
      <c r="V35" s="226">
        <f>+IFERROR(IF(V$19=Takstblad!F$3,VLOOKUP('B4'!$A35,takstblad,6,FALSE)*'B4'!F35,"fejl i år"),0)</f>
        <v>0</v>
      </c>
      <c r="W35" s="226">
        <f>+IFERROR(IF(W$19=Takstblad!G$3,VLOOKUP('B4'!$A35,takstblad,7,FALSE)*'B4'!G35,"fejl i år"),0)</f>
        <v>0</v>
      </c>
      <c r="X35" s="226">
        <f>+IFERROR(IF(X$19=Takstblad!H$3,VLOOKUP('B4'!$A35,takstblad,8,FALSE)*'B4'!H35,"fejl i år"),0)</f>
        <v>0</v>
      </c>
      <c r="Y35" s="226">
        <f>+IFERROR(IF(Y$19=Takstblad!I$3,VLOOKUP('B4'!$A35,takstblad,9,FALSE)*'B4'!I35,"fejl i år"),0)</f>
        <v>0</v>
      </c>
      <c r="Z35" s="226">
        <f>+IFERROR(IF(Z$19=Takstblad!J$3,VLOOKUP('B4'!$A35,takstblad,10,FALSE)*'B4'!J35,"fejl i år"),0)</f>
        <v>0</v>
      </c>
      <c r="AA35" s="226">
        <f>+IFERROR(IF(AA$19=Takstblad!K$3,VLOOKUP('B4'!$A35,takstblad,10,FALSE)*'B4'!K35,"fejl i år"),0)</f>
        <v>0</v>
      </c>
      <c r="AB35" s="226">
        <f>+IFERROR(IF(AB$19=Takstblad!L$3,VLOOKUP('B4'!$A35,takstblad,10,FALSE)*'B4'!L35,"fejl i år"),0)</f>
        <v>0</v>
      </c>
      <c r="AC35" s="227">
        <f t="shared" si="55"/>
        <v>0</v>
      </c>
      <c r="AD35" s="232"/>
      <c r="AE35" s="228">
        <f t="shared" si="40"/>
        <v>0</v>
      </c>
      <c r="AF35" s="228">
        <f t="shared" si="41"/>
        <v>0</v>
      </c>
      <c r="AG35" s="232"/>
      <c r="AH35" s="228">
        <f t="shared" si="42"/>
        <v>0</v>
      </c>
      <c r="AI35" s="228">
        <f t="shared" si="43"/>
        <v>0</v>
      </c>
      <c r="AJ35" s="232"/>
      <c r="AK35" s="226">
        <f t="shared" si="44"/>
        <v>0</v>
      </c>
      <c r="AL35" s="226">
        <f t="shared" si="45"/>
        <v>0</v>
      </c>
      <c r="AM35" s="232"/>
      <c r="AN35" s="226">
        <f t="shared" si="46"/>
        <v>0</v>
      </c>
      <c r="AO35" s="226">
        <f t="shared" si="47"/>
        <v>0</v>
      </c>
      <c r="AP35" s="232"/>
      <c r="AQ35" s="226">
        <f t="shared" si="48"/>
        <v>0</v>
      </c>
      <c r="AR35" s="226">
        <f t="shared" si="49"/>
        <v>0</v>
      </c>
      <c r="AS35" s="232"/>
      <c r="AT35" s="226">
        <f t="shared" si="50"/>
        <v>0</v>
      </c>
      <c r="AU35" s="226">
        <f t="shared" si="51"/>
        <v>0</v>
      </c>
      <c r="AV35" s="232"/>
      <c r="AW35" s="226">
        <f t="shared" si="52"/>
        <v>0</v>
      </c>
      <c r="AX35" s="226">
        <f t="shared" si="53"/>
        <v>0</v>
      </c>
      <c r="AY35" s="232"/>
      <c r="AZ35" s="226">
        <f t="shared" si="56"/>
        <v>0</v>
      </c>
      <c r="BA35" s="226">
        <f t="shared" si="57"/>
        <v>0</v>
      </c>
      <c r="BB35" s="232"/>
      <c r="BC35" s="226">
        <f t="shared" si="58"/>
        <v>0</v>
      </c>
      <c r="BD35" s="226">
        <f t="shared" si="59"/>
        <v>0</v>
      </c>
      <c r="BE35" s="232"/>
      <c r="BF35" s="226">
        <f t="shared" si="60"/>
        <v>0</v>
      </c>
      <c r="BG35" s="226">
        <f t="shared" si="61"/>
        <v>0</v>
      </c>
      <c r="BH35" s="232"/>
      <c r="BI35" s="226">
        <f t="shared" si="62"/>
        <v>0</v>
      </c>
      <c r="BJ35" s="226">
        <f t="shared" si="63"/>
        <v>0</v>
      </c>
    </row>
    <row r="36" spans="1:66" ht="15.6" customHeight="1" x14ac:dyDescent="0.2">
      <c r="A36" s="7" t="s">
        <v>1314</v>
      </c>
      <c r="B36" s="4">
        <f>+VLOOKUP(A36,Takstblad!$A$33:$B$51,2,FALSE)</f>
        <v>0</v>
      </c>
      <c r="C36" s="299"/>
      <c r="D36" s="299"/>
      <c r="E36" s="299"/>
      <c r="F36" s="299"/>
      <c r="G36" s="299"/>
      <c r="H36" s="299"/>
      <c r="I36" s="299"/>
      <c r="J36" s="299"/>
      <c r="K36" s="299"/>
      <c r="L36" s="299"/>
      <c r="M36" s="19">
        <f t="shared" si="54"/>
        <v>0</v>
      </c>
      <c r="N36" s="299"/>
      <c r="O36" s="299" t="s">
        <v>113</v>
      </c>
      <c r="Q36" s="26"/>
      <c r="R36" s="21">
        <f t="shared" si="39"/>
        <v>0</v>
      </c>
      <c r="S36" s="25">
        <f>+IFERROR(IF(S$19=Takstblad!C$3,VLOOKUP('B4'!$A36,takstblad,3,FALSE)*'B4'!C36,"fejl i år"),0)</f>
        <v>0</v>
      </c>
      <c r="T36" s="25">
        <f>+IFERROR(IF(T$19=Takstblad!D$3,VLOOKUP('B4'!$A36,takstblad,4,FALSE)*'B4'!D36,"fejl i år"),0)</f>
        <v>0</v>
      </c>
      <c r="U36" s="25">
        <f>+IFERROR(IF(U$19=Takstblad!E$3,VLOOKUP('B4'!$A36,takstblad,5,FALSE)*'B4'!E36,"fejl i år"),0)</f>
        <v>0</v>
      </c>
      <c r="V36" s="25">
        <f>+IFERROR(IF(V$19=Takstblad!F$3,VLOOKUP('B4'!$A36,takstblad,6,FALSE)*'B4'!F36,"fejl i år"),0)</f>
        <v>0</v>
      </c>
      <c r="W36" s="25">
        <f>+IFERROR(IF(W$19=Takstblad!G$3,VLOOKUP('B4'!$A36,takstblad,7,FALSE)*'B4'!G36,"fejl i år"),0)</f>
        <v>0</v>
      </c>
      <c r="X36" s="25">
        <f>+IFERROR(IF(X$19=Takstblad!H$3,VLOOKUP('B4'!$A36,takstblad,8,FALSE)*'B4'!H36,"fejl i år"),0)</f>
        <v>0</v>
      </c>
      <c r="Y36" s="25">
        <f>+IFERROR(IF(Y$19=Takstblad!I$3,VLOOKUP('B4'!$A36,takstblad,9,FALSE)*'B4'!I36,"fejl i år"),0)</f>
        <v>0</v>
      </c>
      <c r="Z36" s="25">
        <f>+IFERROR(IF(Z$19=Takstblad!J$3,VLOOKUP('B4'!$A36,takstblad,10,FALSE)*'B4'!J36,"fejl i år"),0)</f>
        <v>0</v>
      </c>
      <c r="AA36" s="25">
        <f>+IFERROR(IF(AA$19=Takstblad!K$3,VLOOKUP('B4'!$A36,takstblad,10,FALSE)*'B4'!K36,"fejl i år"),0)</f>
        <v>0</v>
      </c>
      <c r="AB36" s="25">
        <f>+IFERROR(IF(AB$19=Takstblad!L$3,VLOOKUP('B4'!$A36,takstblad,10,FALSE)*'B4'!L36,"fejl i år"),0)</f>
        <v>0</v>
      </c>
      <c r="AC36" s="21">
        <f t="shared" si="55"/>
        <v>0</v>
      </c>
      <c r="AD36" s="232"/>
      <c r="AE36" s="25">
        <f t="shared" si="40"/>
        <v>0</v>
      </c>
      <c r="AF36" s="25">
        <f t="shared" si="41"/>
        <v>0</v>
      </c>
      <c r="AG36" s="232"/>
      <c r="AH36" s="25">
        <f t="shared" si="42"/>
        <v>0</v>
      </c>
      <c r="AI36" s="25">
        <f t="shared" si="43"/>
        <v>0</v>
      </c>
      <c r="AJ36" s="232"/>
      <c r="AK36" s="25">
        <f t="shared" si="44"/>
        <v>0</v>
      </c>
      <c r="AL36" s="25">
        <f t="shared" si="45"/>
        <v>0</v>
      </c>
      <c r="AM36" s="232"/>
      <c r="AN36" s="25">
        <f t="shared" si="46"/>
        <v>0</v>
      </c>
      <c r="AO36" s="25">
        <f t="shared" si="47"/>
        <v>0</v>
      </c>
      <c r="AP36" s="232"/>
      <c r="AQ36" s="25">
        <f t="shared" si="48"/>
        <v>0</v>
      </c>
      <c r="AR36" s="25">
        <f t="shared" si="49"/>
        <v>0</v>
      </c>
      <c r="AS36" s="232"/>
      <c r="AT36" s="25">
        <f t="shared" si="50"/>
        <v>0</v>
      </c>
      <c r="AU36" s="25">
        <f t="shared" si="51"/>
        <v>0</v>
      </c>
      <c r="AV36" s="232"/>
      <c r="AW36" s="25">
        <f t="shared" si="52"/>
        <v>0</v>
      </c>
      <c r="AX36" s="25">
        <f t="shared" si="53"/>
        <v>0</v>
      </c>
      <c r="AY36" s="232"/>
      <c r="AZ36" s="25">
        <f t="shared" si="56"/>
        <v>0</v>
      </c>
      <c r="BA36" s="25">
        <f t="shared" si="57"/>
        <v>0</v>
      </c>
      <c r="BB36" s="232"/>
      <c r="BC36" s="25">
        <f t="shared" si="58"/>
        <v>0</v>
      </c>
      <c r="BD36" s="25">
        <f t="shared" si="59"/>
        <v>0</v>
      </c>
      <c r="BE36" s="232"/>
      <c r="BF36" s="25">
        <f t="shared" si="60"/>
        <v>0</v>
      </c>
      <c r="BG36" s="25">
        <f t="shared" si="61"/>
        <v>0</v>
      </c>
      <c r="BH36" s="232"/>
      <c r="BI36" s="25">
        <f t="shared" si="62"/>
        <v>0</v>
      </c>
      <c r="BJ36" s="25">
        <f t="shared" si="63"/>
        <v>0</v>
      </c>
    </row>
    <row r="37" spans="1:66" ht="15.6" customHeight="1" x14ac:dyDescent="0.2">
      <c r="A37" s="223" t="s">
        <v>1314</v>
      </c>
      <c r="B37" s="224">
        <f>+VLOOKUP(A37,Takstblad!$A$33:$B$51,2,FALSE)</f>
        <v>0</v>
      </c>
      <c r="C37" s="299"/>
      <c r="D37" s="299"/>
      <c r="E37" s="299"/>
      <c r="F37" s="299"/>
      <c r="G37" s="299"/>
      <c r="H37" s="299"/>
      <c r="I37" s="299"/>
      <c r="J37" s="299"/>
      <c r="K37" s="299"/>
      <c r="L37" s="299"/>
      <c r="M37" s="19">
        <f t="shared" si="54"/>
        <v>0</v>
      </c>
      <c r="N37" s="299"/>
      <c r="O37" s="299" t="s">
        <v>113</v>
      </c>
      <c r="P37" s="223"/>
      <c r="Q37" s="229"/>
      <c r="R37" s="227">
        <f t="shared" si="39"/>
        <v>0</v>
      </c>
      <c r="S37" s="226">
        <f>+IFERROR(IF(S$19=Takstblad!C$3,VLOOKUP('B4'!$A37,takstblad,3,FALSE)*'B4'!C37,"fejl i år"),0)</f>
        <v>0</v>
      </c>
      <c r="T37" s="226">
        <f>+IFERROR(IF(T$19=Takstblad!D$3,VLOOKUP('B4'!$A37,takstblad,4,FALSE)*'B4'!D37,"fejl i år"),0)</f>
        <v>0</v>
      </c>
      <c r="U37" s="226">
        <f>+IFERROR(IF(U$19=Takstblad!E$3,VLOOKUP('B4'!$A37,takstblad,5,FALSE)*'B4'!E37,"fejl i år"),0)</f>
        <v>0</v>
      </c>
      <c r="V37" s="226">
        <f>+IFERROR(IF(V$19=Takstblad!F$3,VLOOKUP('B4'!$A37,takstblad,6,FALSE)*'B4'!F37,"fejl i år"),0)</f>
        <v>0</v>
      </c>
      <c r="W37" s="226">
        <f>+IFERROR(IF(W$19=Takstblad!G$3,VLOOKUP('B4'!$A37,takstblad,7,FALSE)*'B4'!G37,"fejl i år"),0)</f>
        <v>0</v>
      </c>
      <c r="X37" s="226">
        <f>+IFERROR(IF(X$19=Takstblad!H$3,VLOOKUP('B4'!$A37,takstblad,8,FALSE)*'B4'!H37,"fejl i år"),0)</f>
        <v>0</v>
      </c>
      <c r="Y37" s="226">
        <f>+IFERROR(IF(Y$19=Takstblad!I$3,VLOOKUP('B4'!$A37,takstblad,9,FALSE)*'B4'!I37,"fejl i år"),0)</f>
        <v>0</v>
      </c>
      <c r="Z37" s="226">
        <f>+IFERROR(IF(Z$19=Takstblad!J$3,VLOOKUP('B4'!$A37,takstblad,10,FALSE)*'B4'!J37,"fejl i år"),0)</f>
        <v>0</v>
      </c>
      <c r="AA37" s="226">
        <f>+IFERROR(IF(AA$19=Takstblad!K$3,VLOOKUP('B4'!$A37,takstblad,10,FALSE)*'B4'!K37,"fejl i år"),0)</f>
        <v>0</v>
      </c>
      <c r="AB37" s="226">
        <f>+IFERROR(IF(AB$19=Takstblad!L$3,VLOOKUP('B4'!$A37,takstblad,10,FALSE)*'B4'!L37,"fejl i år"),0)</f>
        <v>0</v>
      </c>
      <c r="AC37" s="227">
        <f t="shared" si="55"/>
        <v>0</v>
      </c>
      <c r="AD37" s="232"/>
      <c r="AE37" s="228">
        <f t="shared" si="40"/>
        <v>0</v>
      </c>
      <c r="AF37" s="228">
        <f t="shared" si="41"/>
        <v>0</v>
      </c>
      <c r="AG37" s="232"/>
      <c r="AH37" s="228">
        <f t="shared" si="42"/>
        <v>0</v>
      </c>
      <c r="AI37" s="228">
        <f t="shared" si="43"/>
        <v>0</v>
      </c>
      <c r="AJ37" s="232"/>
      <c r="AK37" s="226">
        <f t="shared" si="44"/>
        <v>0</v>
      </c>
      <c r="AL37" s="226">
        <f t="shared" si="45"/>
        <v>0</v>
      </c>
      <c r="AM37" s="232"/>
      <c r="AN37" s="226">
        <f t="shared" si="46"/>
        <v>0</v>
      </c>
      <c r="AO37" s="226">
        <f t="shared" si="47"/>
        <v>0</v>
      </c>
      <c r="AP37" s="232"/>
      <c r="AQ37" s="226">
        <f t="shared" si="48"/>
        <v>0</v>
      </c>
      <c r="AR37" s="226">
        <f t="shared" si="49"/>
        <v>0</v>
      </c>
      <c r="AS37" s="232"/>
      <c r="AT37" s="226">
        <f t="shared" si="50"/>
        <v>0</v>
      </c>
      <c r="AU37" s="226">
        <f t="shared" si="51"/>
        <v>0</v>
      </c>
      <c r="AV37" s="232"/>
      <c r="AW37" s="226">
        <f t="shared" si="52"/>
        <v>0</v>
      </c>
      <c r="AX37" s="226">
        <f t="shared" si="53"/>
        <v>0</v>
      </c>
      <c r="AY37" s="232"/>
      <c r="AZ37" s="226">
        <f t="shared" si="56"/>
        <v>0</v>
      </c>
      <c r="BA37" s="226">
        <f t="shared" si="57"/>
        <v>0</v>
      </c>
      <c r="BB37" s="232"/>
      <c r="BC37" s="226">
        <f t="shared" si="58"/>
        <v>0</v>
      </c>
      <c r="BD37" s="226">
        <f t="shared" si="59"/>
        <v>0</v>
      </c>
      <c r="BE37" s="232"/>
      <c r="BF37" s="226">
        <f t="shared" si="60"/>
        <v>0</v>
      </c>
      <c r="BG37" s="226">
        <f t="shared" si="61"/>
        <v>0</v>
      </c>
      <c r="BH37" s="232"/>
      <c r="BI37" s="226">
        <f t="shared" si="62"/>
        <v>0</v>
      </c>
      <c r="BJ37" s="226">
        <f t="shared" si="63"/>
        <v>0</v>
      </c>
    </row>
    <row r="38" spans="1:66" ht="15.6" customHeight="1" x14ac:dyDescent="0.2">
      <c r="A38" s="7" t="s">
        <v>1314</v>
      </c>
      <c r="B38" s="4">
        <f>+VLOOKUP(A38,Takstblad!$A$33:$B$51,2,FALSE)</f>
        <v>0</v>
      </c>
      <c r="C38" s="299"/>
      <c r="D38" s="299"/>
      <c r="E38" s="299"/>
      <c r="F38" s="299"/>
      <c r="G38" s="299"/>
      <c r="H38" s="299"/>
      <c r="I38" s="299"/>
      <c r="J38" s="299"/>
      <c r="K38" s="299"/>
      <c r="L38" s="299"/>
      <c r="M38" s="19">
        <f t="shared" si="54"/>
        <v>0</v>
      </c>
      <c r="N38" s="299"/>
      <c r="O38" s="299" t="s">
        <v>113</v>
      </c>
      <c r="Q38" s="26"/>
      <c r="R38" s="21">
        <f t="shared" si="39"/>
        <v>0</v>
      </c>
      <c r="S38" s="25">
        <f>+IFERROR(IF(S$19=Takstblad!C$3,VLOOKUP('B4'!$A38,takstblad,3,FALSE)*'B4'!C38,"fejl i år"),0)</f>
        <v>0</v>
      </c>
      <c r="T38" s="25">
        <f>+IFERROR(IF(T$19=Takstblad!D$3,VLOOKUP('B4'!$A38,takstblad,4,FALSE)*'B4'!D38,"fejl i år"),0)</f>
        <v>0</v>
      </c>
      <c r="U38" s="25">
        <f>+IFERROR(IF(U$19=Takstblad!E$3,VLOOKUP('B4'!$A38,takstblad,5,FALSE)*'B4'!E38,"fejl i år"),0)</f>
        <v>0</v>
      </c>
      <c r="V38" s="25">
        <f>+IFERROR(IF(V$19=Takstblad!F$3,VLOOKUP('B4'!$A38,takstblad,6,FALSE)*'B4'!F38,"fejl i år"),0)</f>
        <v>0</v>
      </c>
      <c r="W38" s="25">
        <f>+IFERROR(IF(W$19=Takstblad!G$3,VLOOKUP('B4'!$A38,takstblad,7,FALSE)*'B4'!G38,"fejl i år"),0)</f>
        <v>0</v>
      </c>
      <c r="X38" s="25">
        <f>+IFERROR(IF(X$19=Takstblad!H$3,VLOOKUP('B4'!$A38,takstblad,8,FALSE)*'B4'!H38,"fejl i år"),0)</f>
        <v>0</v>
      </c>
      <c r="Y38" s="25">
        <f>+IFERROR(IF(Y$19=Takstblad!I$3,VLOOKUP('B4'!$A38,takstblad,9,FALSE)*'B4'!I38,"fejl i år"),0)</f>
        <v>0</v>
      </c>
      <c r="Z38" s="25">
        <f>+IFERROR(IF(Z$19=Takstblad!J$3,VLOOKUP('B4'!$A38,takstblad,10,FALSE)*'B4'!J38,"fejl i år"),0)</f>
        <v>0</v>
      </c>
      <c r="AA38" s="25">
        <f>+IFERROR(IF(AA$19=Takstblad!K$3,VLOOKUP('B4'!$A38,takstblad,10,FALSE)*'B4'!K38,"fejl i år"),0)</f>
        <v>0</v>
      </c>
      <c r="AB38" s="25">
        <f>+IFERROR(IF(AB$19=Takstblad!L$3,VLOOKUP('B4'!$A38,takstblad,10,FALSE)*'B4'!L38,"fejl i år"),0)</f>
        <v>0</v>
      </c>
      <c r="AC38" s="21">
        <f t="shared" si="55"/>
        <v>0</v>
      </c>
      <c r="AD38" s="232"/>
      <c r="AE38" s="25">
        <f t="shared" si="40"/>
        <v>0</v>
      </c>
      <c r="AF38" s="25">
        <f t="shared" si="41"/>
        <v>0</v>
      </c>
      <c r="AG38" s="232"/>
      <c r="AH38" s="25">
        <f t="shared" si="42"/>
        <v>0</v>
      </c>
      <c r="AI38" s="25">
        <f t="shared" si="43"/>
        <v>0</v>
      </c>
      <c r="AJ38" s="232"/>
      <c r="AK38" s="25">
        <f t="shared" si="44"/>
        <v>0</v>
      </c>
      <c r="AL38" s="25">
        <f t="shared" si="45"/>
        <v>0</v>
      </c>
      <c r="AM38" s="232"/>
      <c r="AN38" s="25">
        <f t="shared" si="46"/>
        <v>0</v>
      </c>
      <c r="AO38" s="25">
        <f t="shared" si="47"/>
        <v>0</v>
      </c>
      <c r="AP38" s="232"/>
      <c r="AQ38" s="25">
        <f t="shared" si="48"/>
        <v>0</v>
      </c>
      <c r="AR38" s="25">
        <f t="shared" si="49"/>
        <v>0</v>
      </c>
      <c r="AS38" s="232"/>
      <c r="AT38" s="25">
        <f t="shared" si="50"/>
        <v>0</v>
      </c>
      <c r="AU38" s="25">
        <f t="shared" si="51"/>
        <v>0</v>
      </c>
      <c r="AV38" s="232"/>
      <c r="AW38" s="25">
        <f t="shared" si="52"/>
        <v>0</v>
      </c>
      <c r="AX38" s="25">
        <f t="shared" si="53"/>
        <v>0</v>
      </c>
      <c r="AY38" s="232"/>
      <c r="AZ38" s="25">
        <f t="shared" si="56"/>
        <v>0</v>
      </c>
      <c r="BA38" s="25">
        <f t="shared" si="57"/>
        <v>0</v>
      </c>
      <c r="BB38" s="232"/>
      <c r="BC38" s="25">
        <f t="shared" si="58"/>
        <v>0</v>
      </c>
      <c r="BD38" s="25">
        <f t="shared" si="59"/>
        <v>0</v>
      </c>
      <c r="BE38" s="232"/>
      <c r="BF38" s="25">
        <f t="shared" si="60"/>
        <v>0</v>
      </c>
      <c r="BG38" s="25">
        <f t="shared" si="61"/>
        <v>0</v>
      </c>
      <c r="BH38" s="232"/>
      <c r="BI38" s="25">
        <f t="shared" si="62"/>
        <v>0</v>
      </c>
      <c r="BJ38" s="25">
        <f t="shared" si="63"/>
        <v>0</v>
      </c>
    </row>
    <row r="39" spans="1:66" ht="15.6" customHeight="1" x14ac:dyDescent="0.2">
      <c r="A39" s="223" t="s">
        <v>1314</v>
      </c>
      <c r="B39" s="224">
        <f>+VLOOKUP(A39,Takstblad!$A$33:$B$51,2,FALSE)</f>
        <v>0</v>
      </c>
      <c r="C39" s="299"/>
      <c r="D39" s="299"/>
      <c r="E39" s="299"/>
      <c r="F39" s="299"/>
      <c r="G39" s="299"/>
      <c r="H39" s="299"/>
      <c r="I39" s="299"/>
      <c r="J39" s="299"/>
      <c r="K39" s="299"/>
      <c r="L39" s="299"/>
      <c r="M39" s="19">
        <f t="shared" si="54"/>
        <v>0</v>
      </c>
      <c r="N39" s="299"/>
      <c r="O39" s="299" t="s">
        <v>113</v>
      </c>
      <c r="P39" s="223"/>
      <c r="Q39" s="229"/>
      <c r="R39" s="227">
        <f t="shared" si="39"/>
        <v>0</v>
      </c>
      <c r="S39" s="226">
        <f>+IFERROR(IF(S$19=Takstblad!C$3,VLOOKUP('B4'!$A39,takstblad,3,FALSE)*'B4'!C39,"fejl i år"),0)</f>
        <v>0</v>
      </c>
      <c r="T39" s="226">
        <f>+IFERROR(IF(T$19=Takstblad!D$3,VLOOKUP('B4'!$A39,takstblad,4,FALSE)*'B4'!D39,"fejl i år"),0)</f>
        <v>0</v>
      </c>
      <c r="U39" s="226">
        <f>+IFERROR(IF(U$19=Takstblad!E$3,VLOOKUP('B4'!$A39,takstblad,5,FALSE)*'B4'!E39,"fejl i år"),0)</f>
        <v>0</v>
      </c>
      <c r="V39" s="226">
        <f>+IFERROR(IF(V$19=Takstblad!F$3,VLOOKUP('B4'!$A39,takstblad,6,FALSE)*'B4'!F39,"fejl i år"),0)</f>
        <v>0</v>
      </c>
      <c r="W39" s="226">
        <f>+IFERROR(IF(W$19=Takstblad!G$3,VLOOKUP('B4'!$A39,takstblad,7,FALSE)*'B4'!G39,"fejl i år"),0)</f>
        <v>0</v>
      </c>
      <c r="X39" s="226">
        <f>+IFERROR(IF(X$19=Takstblad!H$3,VLOOKUP('B4'!$A39,takstblad,8,FALSE)*'B4'!H39,"fejl i år"),0)</f>
        <v>0</v>
      </c>
      <c r="Y39" s="226">
        <f>+IFERROR(IF(Y$19=Takstblad!I$3,VLOOKUP('B4'!$A39,takstblad,9,FALSE)*'B4'!I39,"fejl i år"),0)</f>
        <v>0</v>
      </c>
      <c r="Z39" s="226">
        <f>+IFERROR(IF(Z$19=Takstblad!J$3,VLOOKUP('B4'!$A39,takstblad,10,FALSE)*'B4'!J39,"fejl i år"),0)</f>
        <v>0</v>
      </c>
      <c r="AA39" s="226">
        <f>+IFERROR(IF(AA$19=Takstblad!K$3,VLOOKUP('B4'!$A39,takstblad,10,FALSE)*'B4'!K39,"fejl i år"),0)</f>
        <v>0</v>
      </c>
      <c r="AB39" s="226">
        <f>+IFERROR(IF(AB$19=Takstblad!L$3,VLOOKUP('B4'!$A39,takstblad,10,FALSE)*'B4'!L39,"fejl i år"),0)</f>
        <v>0</v>
      </c>
      <c r="AC39" s="227">
        <f t="shared" si="55"/>
        <v>0</v>
      </c>
      <c r="AD39" s="232"/>
      <c r="AE39" s="228">
        <f t="shared" si="40"/>
        <v>0</v>
      </c>
      <c r="AF39" s="228">
        <f t="shared" si="41"/>
        <v>0</v>
      </c>
      <c r="AG39" s="232"/>
      <c r="AH39" s="228">
        <f t="shared" si="42"/>
        <v>0</v>
      </c>
      <c r="AI39" s="228">
        <f t="shared" si="43"/>
        <v>0</v>
      </c>
      <c r="AJ39" s="232"/>
      <c r="AK39" s="226">
        <f t="shared" si="44"/>
        <v>0</v>
      </c>
      <c r="AL39" s="226">
        <f t="shared" si="45"/>
        <v>0</v>
      </c>
      <c r="AM39" s="232"/>
      <c r="AN39" s="226">
        <f t="shared" si="46"/>
        <v>0</v>
      </c>
      <c r="AO39" s="226">
        <f t="shared" si="47"/>
        <v>0</v>
      </c>
      <c r="AP39" s="232"/>
      <c r="AQ39" s="226">
        <f t="shared" si="48"/>
        <v>0</v>
      </c>
      <c r="AR39" s="226">
        <f t="shared" si="49"/>
        <v>0</v>
      </c>
      <c r="AS39" s="232"/>
      <c r="AT39" s="226">
        <f t="shared" si="50"/>
        <v>0</v>
      </c>
      <c r="AU39" s="226">
        <f t="shared" si="51"/>
        <v>0</v>
      </c>
      <c r="AV39" s="232"/>
      <c r="AW39" s="226">
        <f t="shared" si="52"/>
        <v>0</v>
      </c>
      <c r="AX39" s="226">
        <f t="shared" si="53"/>
        <v>0</v>
      </c>
      <c r="AY39" s="232"/>
      <c r="AZ39" s="226">
        <f t="shared" si="56"/>
        <v>0</v>
      </c>
      <c r="BA39" s="226">
        <f t="shared" si="57"/>
        <v>0</v>
      </c>
      <c r="BB39" s="232"/>
      <c r="BC39" s="226">
        <f t="shared" si="58"/>
        <v>0</v>
      </c>
      <c r="BD39" s="226">
        <f t="shared" si="59"/>
        <v>0</v>
      </c>
      <c r="BE39" s="232"/>
      <c r="BF39" s="226">
        <f t="shared" si="60"/>
        <v>0</v>
      </c>
      <c r="BG39" s="226">
        <f t="shared" si="61"/>
        <v>0</v>
      </c>
      <c r="BH39" s="232"/>
      <c r="BI39" s="226">
        <f t="shared" si="62"/>
        <v>0</v>
      </c>
      <c r="BJ39" s="226">
        <f t="shared" si="63"/>
        <v>0</v>
      </c>
    </row>
    <row r="40" spans="1:66" ht="15.6" customHeight="1" x14ac:dyDescent="0.2">
      <c r="A40" s="7" t="s">
        <v>1314</v>
      </c>
      <c r="B40" s="4">
        <f>+VLOOKUP(A40,Takstblad!$A$33:$B$51,2,FALSE)</f>
        <v>0</v>
      </c>
      <c r="C40" s="299"/>
      <c r="D40" s="299"/>
      <c r="E40" s="299"/>
      <c r="F40" s="299"/>
      <c r="G40" s="299"/>
      <c r="H40" s="299"/>
      <c r="I40" s="299"/>
      <c r="J40" s="299"/>
      <c r="K40" s="299"/>
      <c r="L40" s="299"/>
      <c r="M40" s="19">
        <f t="shared" si="54"/>
        <v>0</v>
      </c>
      <c r="N40" s="299"/>
      <c r="O40" s="299" t="s">
        <v>113</v>
      </c>
      <c r="Q40" s="26"/>
      <c r="R40" s="21">
        <f t="shared" si="39"/>
        <v>0</v>
      </c>
      <c r="S40" s="25">
        <f>+IFERROR(IF(S$19=Takstblad!C$3,VLOOKUP('B4'!$A40,takstblad,3,FALSE)*'B4'!C40,"fejl i år"),0)</f>
        <v>0</v>
      </c>
      <c r="T40" s="25">
        <f>+IFERROR(IF(T$19=Takstblad!D$3,VLOOKUP('B4'!$A40,takstblad,4,FALSE)*'B4'!D40,"fejl i år"),0)</f>
        <v>0</v>
      </c>
      <c r="U40" s="25">
        <f>+IFERROR(IF(U$19=Takstblad!E$3,VLOOKUP('B4'!$A40,takstblad,5,FALSE)*'B4'!E40,"fejl i år"),0)</f>
        <v>0</v>
      </c>
      <c r="V40" s="25">
        <f>+IFERROR(IF(V$19=Takstblad!F$3,VLOOKUP('B4'!$A40,takstblad,6,FALSE)*'B4'!F40,"fejl i år"),0)</f>
        <v>0</v>
      </c>
      <c r="W40" s="25">
        <f>+IFERROR(IF(W$19=Takstblad!G$3,VLOOKUP('B4'!$A40,takstblad,7,FALSE)*'B4'!G40,"fejl i år"),0)</f>
        <v>0</v>
      </c>
      <c r="X40" s="25">
        <f>+IFERROR(IF(X$19=Takstblad!H$3,VLOOKUP('B4'!$A40,takstblad,8,FALSE)*'B4'!H40,"fejl i år"),0)</f>
        <v>0</v>
      </c>
      <c r="Y40" s="25">
        <f>+IFERROR(IF(Y$19=Takstblad!I$3,VLOOKUP('B4'!$A40,takstblad,9,FALSE)*'B4'!I40,"fejl i år"),0)</f>
        <v>0</v>
      </c>
      <c r="Z40" s="25">
        <f>+IFERROR(IF(Z$19=Takstblad!J$3,VLOOKUP('B4'!$A40,takstblad,10,FALSE)*'B4'!J40,"fejl i år"),0)</f>
        <v>0</v>
      </c>
      <c r="AA40" s="25">
        <f>+IFERROR(IF(AA$19=Takstblad!K$3,VLOOKUP('B4'!$A40,takstblad,10,FALSE)*'B4'!K40,"fejl i år"),0)</f>
        <v>0</v>
      </c>
      <c r="AB40" s="25">
        <f>+IFERROR(IF(AB$19=Takstblad!L$3,VLOOKUP('B4'!$A40,takstblad,10,FALSE)*'B4'!L40,"fejl i år"),0)</f>
        <v>0</v>
      </c>
      <c r="AC40" s="21">
        <f t="shared" si="55"/>
        <v>0</v>
      </c>
      <c r="AD40" s="232"/>
      <c r="AE40" s="25">
        <f t="shared" si="40"/>
        <v>0</v>
      </c>
      <c r="AF40" s="25">
        <f t="shared" si="41"/>
        <v>0</v>
      </c>
      <c r="AG40" s="232"/>
      <c r="AH40" s="25">
        <f t="shared" si="42"/>
        <v>0</v>
      </c>
      <c r="AI40" s="25">
        <f t="shared" si="43"/>
        <v>0</v>
      </c>
      <c r="AJ40" s="232"/>
      <c r="AK40" s="25">
        <f t="shared" si="44"/>
        <v>0</v>
      </c>
      <c r="AL40" s="25">
        <f t="shared" si="45"/>
        <v>0</v>
      </c>
      <c r="AM40" s="232"/>
      <c r="AN40" s="25">
        <f t="shared" si="46"/>
        <v>0</v>
      </c>
      <c r="AO40" s="25">
        <f t="shared" si="47"/>
        <v>0</v>
      </c>
      <c r="AP40" s="232"/>
      <c r="AQ40" s="25">
        <f t="shared" si="48"/>
        <v>0</v>
      </c>
      <c r="AR40" s="25">
        <f t="shared" si="49"/>
        <v>0</v>
      </c>
      <c r="AS40" s="232"/>
      <c r="AT40" s="25">
        <f t="shared" si="50"/>
        <v>0</v>
      </c>
      <c r="AU40" s="25">
        <f t="shared" si="51"/>
        <v>0</v>
      </c>
      <c r="AV40" s="232"/>
      <c r="AW40" s="25">
        <f t="shared" si="52"/>
        <v>0</v>
      </c>
      <c r="AX40" s="25">
        <f t="shared" si="53"/>
        <v>0</v>
      </c>
      <c r="AY40" s="232"/>
      <c r="AZ40" s="25">
        <f t="shared" si="56"/>
        <v>0</v>
      </c>
      <c r="BA40" s="25">
        <f t="shared" si="57"/>
        <v>0</v>
      </c>
      <c r="BB40" s="232"/>
      <c r="BC40" s="25">
        <f t="shared" si="58"/>
        <v>0</v>
      </c>
      <c r="BD40" s="25">
        <f t="shared" si="59"/>
        <v>0</v>
      </c>
      <c r="BE40" s="232"/>
      <c r="BF40" s="25">
        <f t="shared" si="60"/>
        <v>0</v>
      </c>
      <c r="BG40" s="25">
        <f t="shared" si="61"/>
        <v>0</v>
      </c>
      <c r="BH40" s="232"/>
      <c r="BI40" s="25">
        <f t="shared" si="62"/>
        <v>0</v>
      </c>
      <c r="BJ40" s="25">
        <f t="shared" si="63"/>
        <v>0</v>
      </c>
    </row>
    <row r="41" spans="1:66" ht="15.6" customHeight="1" x14ac:dyDescent="0.2">
      <c r="A41" s="223" t="s">
        <v>1314</v>
      </c>
      <c r="B41" s="224">
        <f>+VLOOKUP(A41,Takstblad!$A$33:$B$51,2,FALSE)</f>
        <v>0</v>
      </c>
      <c r="C41" s="299"/>
      <c r="D41" s="299"/>
      <c r="E41" s="299"/>
      <c r="F41" s="299"/>
      <c r="G41" s="299"/>
      <c r="H41" s="299"/>
      <c r="I41" s="299"/>
      <c r="J41" s="299"/>
      <c r="K41" s="299"/>
      <c r="L41" s="299"/>
      <c r="M41" s="19">
        <f t="shared" si="54"/>
        <v>0</v>
      </c>
      <c r="N41" s="299"/>
      <c r="O41" s="299" t="s">
        <v>113</v>
      </c>
      <c r="P41" s="223"/>
      <c r="Q41" s="229"/>
      <c r="R41" s="227">
        <f t="shared" si="39"/>
        <v>0</v>
      </c>
      <c r="S41" s="226">
        <f>+IFERROR(IF(S$19=Takstblad!C$3,VLOOKUP('B4'!$A41,takstblad,3,FALSE)*'B4'!C41,"fejl i år"),0)</f>
        <v>0</v>
      </c>
      <c r="T41" s="226">
        <f>+IFERROR(IF(T$19=Takstblad!D$3,VLOOKUP('B4'!$A41,takstblad,4,FALSE)*'B4'!D41,"fejl i år"),0)</f>
        <v>0</v>
      </c>
      <c r="U41" s="226">
        <f>+IFERROR(IF(U$19=Takstblad!E$3,VLOOKUP('B4'!$A41,takstblad,5,FALSE)*'B4'!E41,"fejl i år"),0)</f>
        <v>0</v>
      </c>
      <c r="V41" s="226">
        <f>+IFERROR(IF(V$19=Takstblad!F$3,VLOOKUP('B4'!$A41,takstblad,6,FALSE)*'B4'!F41,"fejl i år"),0)</f>
        <v>0</v>
      </c>
      <c r="W41" s="226">
        <f>+IFERROR(IF(W$19=Takstblad!G$3,VLOOKUP('B4'!$A41,takstblad,7,FALSE)*'B4'!G41,"fejl i år"),0)</f>
        <v>0</v>
      </c>
      <c r="X41" s="226">
        <f>+IFERROR(IF(X$19=Takstblad!H$3,VLOOKUP('B4'!$A41,takstblad,8,FALSE)*'B4'!H41,"fejl i år"),0)</f>
        <v>0</v>
      </c>
      <c r="Y41" s="226">
        <f>+IFERROR(IF(Y$19=Takstblad!I$3,VLOOKUP('B4'!$A41,takstblad,9,FALSE)*'B4'!I41,"fejl i år"),0)</f>
        <v>0</v>
      </c>
      <c r="Z41" s="226">
        <f>+IFERROR(IF(Z$19=Takstblad!J$3,VLOOKUP('B4'!$A41,takstblad,10,FALSE)*'B4'!J41,"fejl i år"),0)</f>
        <v>0</v>
      </c>
      <c r="AA41" s="226">
        <f>+IFERROR(IF(AA$19=Takstblad!K$3,VLOOKUP('B4'!$A41,takstblad,10,FALSE)*'B4'!K41,"fejl i år"),0)</f>
        <v>0</v>
      </c>
      <c r="AB41" s="226">
        <f>+IFERROR(IF(AB$19=Takstblad!L$3,VLOOKUP('B4'!$A41,takstblad,10,FALSE)*'B4'!L41,"fejl i år"),0)</f>
        <v>0</v>
      </c>
      <c r="AC41" s="227">
        <f t="shared" si="55"/>
        <v>0</v>
      </c>
      <c r="AD41" s="232"/>
      <c r="AE41" s="228">
        <f t="shared" si="40"/>
        <v>0</v>
      </c>
      <c r="AF41" s="228">
        <f t="shared" si="41"/>
        <v>0</v>
      </c>
      <c r="AG41" s="232"/>
      <c r="AH41" s="228">
        <f t="shared" si="42"/>
        <v>0</v>
      </c>
      <c r="AI41" s="228">
        <f t="shared" si="43"/>
        <v>0</v>
      </c>
      <c r="AJ41" s="232"/>
      <c r="AK41" s="226">
        <f t="shared" si="44"/>
        <v>0</v>
      </c>
      <c r="AL41" s="226">
        <f t="shared" si="45"/>
        <v>0</v>
      </c>
      <c r="AM41" s="232"/>
      <c r="AN41" s="226">
        <f t="shared" si="46"/>
        <v>0</v>
      </c>
      <c r="AO41" s="226">
        <f t="shared" si="47"/>
        <v>0</v>
      </c>
      <c r="AP41" s="232"/>
      <c r="AQ41" s="226">
        <f t="shared" si="48"/>
        <v>0</v>
      </c>
      <c r="AR41" s="226">
        <f t="shared" si="49"/>
        <v>0</v>
      </c>
      <c r="AS41" s="232"/>
      <c r="AT41" s="226">
        <f t="shared" si="50"/>
        <v>0</v>
      </c>
      <c r="AU41" s="226">
        <f t="shared" si="51"/>
        <v>0</v>
      </c>
      <c r="AV41" s="232"/>
      <c r="AW41" s="226">
        <f t="shared" si="52"/>
        <v>0</v>
      </c>
      <c r="AX41" s="226">
        <f t="shared" si="53"/>
        <v>0</v>
      </c>
      <c r="AY41" s="232"/>
      <c r="AZ41" s="226">
        <f t="shared" si="56"/>
        <v>0</v>
      </c>
      <c r="BA41" s="226">
        <f t="shared" si="57"/>
        <v>0</v>
      </c>
      <c r="BB41" s="232"/>
      <c r="BC41" s="226">
        <f t="shared" si="58"/>
        <v>0</v>
      </c>
      <c r="BD41" s="226">
        <f t="shared" si="59"/>
        <v>0</v>
      </c>
      <c r="BE41" s="232"/>
      <c r="BF41" s="226">
        <f t="shared" si="60"/>
        <v>0</v>
      </c>
      <c r="BG41" s="226">
        <f t="shared" si="61"/>
        <v>0</v>
      </c>
      <c r="BH41" s="232"/>
      <c r="BI41" s="226">
        <f t="shared" si="62"/>
        <v>0</v>
      </c>
      <c r="BJ41" s="226">
        <f t="shared" si="63"/>
        <v>0</v>
      </c>
    </row>
    <row r="42" spans="1:66" ht="15.6" customHeight="1" x14ac:dyDescent="0.2">
      <c r="A42" s="7" t="s">
        <v>1314</v>
      </c>
      <c r="B42" s="4">
        <f>+VLOOKUP(A42,Takstblad!$A$33:$B$51,2,FALSE)</f>
        <v>0</v>
      </c>
      <c r="C42" s="299"/>
      <c r="D42" s="299"/>
      <c r="E42" s="299"/>
      <c r="F42" s="299"/>
      <c r="G42" s="299"/>
      <c r="H42" s="299"/>
      <c r="I42" s="299"/>
      <c r="J42" s="299"/>
      <c r="K42" s="299"/>
      <c r="L42" s="299"/>
      <c r="M42" s="19">
        <f t="shared" si="54"/>
        <v>0</v>
      </c>
      <c r="N42" s="299"/>
      <c r="O42" s="299" t="s">
        <v>113</v>
      </c>
      <c r="Q42" s="23"/>
      <c r="R42" s="21">
        <f t="shared" si="39"/>
        <v>0</v>
      </c>
      <c r="S42" s="25">
        <f>+IFERROR(IF(S$19=Takstblad!C$3,VLOOKUP('B4'!$A42,takstblad,3,FALSE)*'B4'!C42,"fejl i år"),0)</f>
        <v>0</v>
      </c>
      <c r="T42" s="25">
        <f>+IFERROR(IF(T$19=Takstblad!D$3,VLOOKUP('B4'!$A42,takstblad,4,FALSE)*'B4'!D42,"fejl i år"),0)</f>
        <v>0</v>
      </c>
      <c r="U42" s="25">
        <f>+IFERROR(IF(U$19=Takstblad!E$3,VLOOKUP('B4'!$A42,takstblad,5,FALSE)*'B4'!E42,"fejl i år"),0)</f>
        <v>0</v>
      </c>
      <c r="V42" s="25">
        <f>+IFERROR(IF(V$19=Takstblad!F$3,VLOOKUP('B4'!$A42,takstblad,6,FALSE)*'B4'!F42,"fejl i år"),0)</f>
        <v>0</v>
      </c>
      <c r="W42" s="25">
        <f>+IFERROR(IF(W$19=Takstblad!G$3,VLOOKUP('B4'!$A42,takstblad,7,FALSE)*'B4'!G42,"fejl i år"),0)</f>
        <v>0</v>
      </c>
      <c r="X42" s="25">
        <f>+IFERROR(IF(X$19=Takstblad!H$3,VLOOKUP('B4'!$A42,takstblad,8,FALSE)*'B4'!H42,"fejl i år"),0)</f>
        <v>0</v>
      </c>
      <c r="Y42" s="25">
        <f>+IFERROR(IF(Y$19=Takstblad!I$3,VLOOKUP('B4'!$A42,takstblad,9,FALSE)*'B4'!I42,"fejl i år"),0)</f>
        <v>0</v>
      </c>
      <c r="Z42" s="25">
        <f>+IFERROR(IF(Z$19=Takstblad!J$3,VLOOKUP('B4'!$A42,takstblad,10,FALSE)*'B4'!J42,"fejl i år"),0)</f>
        <v>0</v>
      </c>
      <c r="AA42" s="25">
        <f>+IFERROR(IF(AA$19=Takstblad!K$3,VLOOKUP('B4'!$A42,takstblad,10,FALSE)*'B4'!K42,"fejl i år"),0)</f>
        <v>0</v>
      </c>
      <c r="AB42" s="25">
        <f>+IFERROR(IF(AB$19=Takstblad!L$3,VLOOKUP('B4'!$A42,takstblad,10,FALSE)*'B4'!L42,"fejl i år"),0)</f>
        <v>0</v>
      </c>
      <c r="AC42" s="21">
        <f t="shared" si="55"/>
        <v>0</v>
      </c>
      <c r="AD42" s="232"/>
      <c r="AE42" s="25">
        <f t="shared" si="40"/>
        <v>0</v>
      </c>
      <c r="AF42" s="25">
        <f t="shared" si="41"/>
        <v>0</v>
      </c>
      <c r="AG42" s="232"/>
      <c r="AH42" s="25">
        <f t="shared" si="42"/>
        <v>0</v>
      </c>
      <c r="AI42" s="25">
        <f t="shared" si="43"/>
        <v>0</v>
      </c>
      <c r="AJ42" s="232"/>
      <c r="AK42" s="25">
        <f t="shared" si="44"/>
        <v>0</v>
      </c>
      <c r="AL42" s="25">
        <f t="shared" si="45"/>
        <v>0</v>
      </c>
      <c r="AM42" s="232"/>
      <c r="AN42" s="25">
        <f t="shared" si="46"/>
        <v>0</v>
      </c>
      <c r="AO42" s="25">
        <f t="shared" si="47"/>
        <v>0</v>
      </c>
      <c r="AP42" s="232"/>
      <c r="AQ42" s="25">
        <f t="shared" si="48"/>
        <v>0</v>
      </c>
      <c r="AR42" s="25">
        <f t="shared" si="49"/>
        <v>0</v>
      </c>
      <c r="AS42" s="232"/>
      <c r="AT42" s="25">
        <f t="shared" si="50"/>
        <v>0</v>
      </c>
      <c r="AU42" s="25">
        <f t="shared" si="51"/>
        <v>0</v>
      </c>
      <c r="AV42" s="232"/>
      <c r="AW42" s="25">
        <f t="shared" si="52"/>
        <v>0</v>
      </c>
      <c r="AX42" s="25">
        <f t="shared" si="53"/>
        <v>0</v>
      </c>
      <c r="AY42" s="232"/>
      <c r="AZ42" s="25">
        <f t="shared" si="56"/>
        <v>0</v>
      </c>
      <c r="BA42" s="25">
        <f t="shared" si="57"/>
        <v>0</v>
      </c>
      <c r="BB42" s="232"/>
      <c r="BC42" s="25">
        <f t="shared" si="58"/>
        <v>0</v>
      </c>
      <c r="BD42" s="25">
        <f t="shared" si="59"/>
        <v>0</v>
      </c>
      <c r="BE42" s="232"/>
      <c r="BF42" s="25">
        <f t="shared" si="60"/>
        <v>0</v>
      </c>
      <c r="BG42" s="25">
        <f t="shared" si="61"/>
        <v>0</v>
      </c>
      <c r="BH42" s="232"/>
      <c r="BI42" s="25">
        <f t="shared" si="62"/>
        <v>0</v>
      </c>
      <c r="BJ42" s="25">
        <f t="shared" si="63"/>
        <v>0</v>
      </c>
    </row>
    <row r="43" spans="1:66" s="11" customFormat="1" ht="15.6" customHeight="1" x14ac:dyDescent="0.2">
      <c r="A43" s="5" t="s">
        <v>232</v>
      </c>
      <c r="B43" s="4"/>
      <c r="C43" s="166">
        <f>IF($C$12=2,0,IF($C$8="Project-supplement",0,S43/Takstblad!C54))</f>
        <v>0</v>
      </c>
      <c r="D43" s="166">
        <f>IF($C$12=2,0,IF($C$8="Project-supplement",0,T43/Takstblad!D54))</f>
        <v>0</v>
      </c>
      <c r="E43" s="166">
        <f>IF($C$12=2,0,IF($C$8="Project-supplement",0,U43/Takstblad!E54))</f>
        <v>0</v>
      </c>
      <c r="F43" s="166">
        <f>IF($C$12=2,0,IF($C$8="Project-supplement",0,V43/Takstblad!F54))</f>
        <v>0</v>
      </c>
      <c r="G43" s="166">
        <f>IF($C$12=2,0,IF($C$8="Project-supplement",0,W43/Takstblad!G54))</f>
        <v>0</v>
      </c>
      <c r="H43" s="166">
        <f>IF($C$12=2,0,IF($C$8="Project-supplement",0,X43/Takstblad!H54))</f>
        <v>0</v>
      </c>
      <c r="I43" s="166">
        <f>IF($C$12=2,0,IF($C$8="Project-supplement",0,Y43/Takstblad!I54))</f>
        <v>0</v>
      </c>
      <c r="J43" s="166">
        <f>IF($C$12=2,0,IF($C$8="Project-supplement",0,Z43/Takstblad!J54))</f>
        <v>0</v>
      </c>
      <c r="K43" s="166">
        <f>IF($C$12=2,0,IF($C$8="Project-supplement",0,AA43/Takstblad!K54))</f>
        <v>0</v>
      </c>
      <c r="L43" s="166">
        <f>IF($C$12=2,0,IF($C$8="Project-supplement",0,AB43/Takstblad!L54))</f>
        <v>0</v>
      </c>
      <c r="M43" s="65">
        <f t="shared" si="54"/>
        <v>0</v>
      </c>
      <c r="N43" s="20"/>
      <c r="O43" s="168" t="s">
        <v>152</v>
      </c>
      <c r="Q43" s="27"/>
      <c r="R43" s="21">
        <f>+AC43</f>
        <v>0</v>
      </c>
      <c r="S43" s="25">
        <f>IFERROR(IF($C$12=2,0,IF(OR($G$7="salary and operations",$G$7="Salary"),VLOOKUP($C$2,Takstblad!$B$55:$L$67,2,FALSE)*C$48,0)),0)</f>
        <v>0</v>
      </c>
      <c r="T43" s="25">
        <f>IFERROR(IF($C$12=2,0,IF(OR($G$7="salary and operations",$G$7="Salary"),VLOOKUP($C$2,Takstblad!$B$55:$L$67,2,FALSE)*D$48,0)),0)</f>
        <v>0</v>
      </c>
      <c r="U43" s="25">
        <f>IFERROR(IF($C$12=2,0,IF(OR($G$7="salary and operations",$G$7="Salary"),VLOOKUP($C$2,Takstblad!$B$55:$L$67,2,FALSE)*E$48,0)),0)</f>
        <v>0</v>
      </c>
      <c r="V43" s="25">
        <f>IFERROR(IF($C$12=2,0,IF(OR($G$7="salary and operations",$G$7="Salary"),VLOOKUP($C$2,Takstblad!$B$55:$L$67,2,FALSE)*F$48,0)),0)</f>
        <v>0</v>
      </c>
      <c r="W43" s="25">
        <f>IFERROR(IF($C$12=2,0,IF(OR($G$7="salary and operations",$G$7="Salary"),VLOOKUP($C$2,Takstblad!$B$55:$L$67,2,FALSE)*G$48,0)),0)</f>
        <v>0</v>
      </c>
      <c r="X43" s="25">
        <f>IFERROR(IF($C$12=2,0,IF(OR($G$7="salary and operations",$G$7="Salary"),VLOOKUP($C$2,Takstblad!$B$55:$L$67,2,FALSE)*H$48,0)),0)</f>
        <v>0</v>
      </c>
      <c r="Y43" s="25">
        <f>IFERROR(IF($C$12=2,0,IF(OR($G$7="salary and operations",$G$7="Salary"),VLOOKUP($C$2,Takstblad!$B$55:$L$67,2,FALSE)*I$48,0)),0)</f>
        <v>0</v>
      </c>
      <c r="Z43" s="25">
        <f>IFERROR(IF($C$12=2,0,IF(OR($G$7="salary and operations",$G$7="Salary"),VLOOKUP($C$2,Takstblad!$B$55:$L$67,2,FALSE)*J$48,0)),0)</f>
        <v>0</v>
      </c>
      <c r="AA43" s="25">
        <f>IFERROR(IF($C$12=2,0,IF(OR($G$7="salary and operations",$G$7="Salary"),VLOOKUP($C$2,Takstblad!$B$55:$L$67,2,FALSE)*K$48,0)),0)</f>
        <v>0</v>
      </c>
      <c r="AB43" s="25">
        <f>IFERROR(IF($C$12=2,0,IF(OR($G$7="salary and operations",$G$7="Salary"),VLOOKUP($C$2,Takstblad!$B$55:$L$67,2,FALSE)*L$48,0)),0)</f>
        <v>0</v>
      </c>
      <c r="AC43" s="21">
        <f t="shared" si="55"/>
        <v>0</v>
      </c>
      <c r="AD43" s="232"/>
      <c r="AE43" s="25">
        <f>+M43*($C$7/12)</f>
        <v>0</v>
      </c>
      <c r="AF43" s="25">
        <f t="shared" si="41"/>
        <v>0</v>
      </c>
      <c r="AG43" s="7"/>
      <c r="AH43" s="25">
        <f t="shared" si="42"/>
        <v>0</v>
      </c>
      <c r="AI43" s="25">
        <f t="shared" si="43"/>
        <v>0</v>
      </c>
      <c r="AJ43" s="7"/>
      <c r="AK43" s="25">
        <f t="shared" si="44"/>
        <v>0</v>
      </c>
      <c r="AL43" s="25">
        <f t="shared" si="45"/>
        <v>0</v>
      </c>
      <c r="AM43" s="232"/>
      <c r="AN43" s="25">
        <f t="shared" si="46"/>
        <v>0</v>
      </c>
      <c r="AO43" s="25">
        <f t="shared" si="47"/>
        <v>0</v>
      </c>
      <c r="AP43" s="232"/>
      <c r="AQ43" s="25">
        <f t="shared" si="48"/>
        <v>0</v>
      </c>
      <c r="AR43" s="25">
        <f t="shared" si="49"/>
        <v>0</v>
      </c>
      <c r="AS43" s="232"/>
      <c r="AT43" s="25">
        <f t="shared" si="50"/>
        <v>0</v>
      </c>
      <c r="AU43" s="25">
        <f t="shared" si="51"/>
        <v>0</v>
      </c>
      <c r="AV43" s="232"/>
      <c r="AW43" s="25">
        <f t="shared" si="52"/>
        <v>0</v>
      </c>
      <c r="AX43" s="25">
        <f t="shared" si="53"/>
        <v>0</v>
      </c>
      <c r="AY43" s="7"/>
      <c r="AZ43" s="25">
        <f t="shared" si="56"/>
        <v>0</v>
      </c>
      <c r="BA43" s="25">
        <f t="shared" si="57"/>
        <v>0</v>
      </c>
      <c r="BB43" s="7"/>
      <c r="BC43" s="25">
        <f t="shared" si="58"/>
        <v>0</v>
      </c>
      <c r="BD43" s="25">
        <f t="shared" si="59"/>
        <v>0</v>
      </c>
      <c r="BE43" s="7"/>
      <c r="BF43" s="25">
        <f t="shared" si="60"/>
        <v>0</v>
      </c>
      <c r="BG43" s="25">
        <f t="shared" si="61"/>
        <v>0</v>
      </c>
      <c r="BH43" s="7"/>
      <c r="BI43" s="25">
        <f t="shared" si="62"/>
        <v>0</v>
      </c>
      <c r="BJ43" s="25">
        <f t="shared" si="63"/>
        <v>0</v>
      </c>
      <c r="BK43" s="7"/>
      <c r="BL43" s="7"/>
      <c r="BM43" s="7"/>
      <c r="BN43" s="7"/>
    </row>
    <row r="44" spans="1:66" s="11" customFormat="1" ht="15.6" customHeight="1" x14ac:dyDescent="0.2">
      <c r="A44" s="5" t="s">
        <v>233</v>
      </c>
      <c r="B44" s="4"/>
      <c r="C44" s="166">
        <f>IF($C$12=2,0,IF($C$8="project-supplement",0,S44/Takstblad!C54))</f>
        <v>0</v>
      </c>
      <c r="D44" s="166">
        <f>IF($C$12=2,0,IF($C$8="project-supplement",0,T44/Takstblad!D54))</f>
        <v>0</v>
      </c>
      <c r="E44" s="166">
        <f>IF($C$12=2,0,IF($C$8="project-supplement",0,U44/Takstblad!E54))</f>
        <v>0</v>
      </c>
      <c r="F44" s="166">
        <f>IF($C$12=2,0,IF($C$8="project-supplement",0,V44/Takstblad!F54))</f>
        <v>0</v>
      </c>
      <c r="G44" s="166">
        <f>IF($C$12=2,0,IF($C$8="project-supplement",0,W44/Takstblad!G54))</f>
        <v>0</v>
      </c>
      <c r="H44" s="166">
        <f>IF($C$12=2,0,IF($C$8="project-supplement",0,X44/Takstblad!H54))</f>
        <v>0</v>
      </c>
      <c r="I44" s="166">
        <f>IF($C$12=2,0,IF($C$8="project-supplement",0,Y44/Takstblad!I54))</f>
        <v>0</v>
      </c>
      <c r="J44" s="166">
        <f>IF($C$12=2,0,IF($C$8="project-supplement",0,Z44/Takstblad!J54))</f>
        <v>0</v>
      </c>
      <c r="K44" s="166">
        <f>IF($C$12=2,0,IF($C$8="project-supplement",0,AA44/Takstblad!K54))</f>
        <v>0</v>
      </c>
      <c r="L44" s="166">
        <f>IF($C$12=2,0,IF($C$8="project-supplement",0,AB44/Takstblad!L54))</f>
        <v>0</v>
      </c>
      <c r="M44" s="65">
        <f t="shared" si="54"/>
        <v>0</v>
      </c>
      <c r="N44" s="94"/>
      <c r="O44" s="168" t="s">
        <v>112</v>
      </c>
      <c r="Q44" s="27"/>
      <c r="R44" s="21">
        <f t="shared" si="39"/>
        <v>0</v>
      </c>
      <c r="S44" s="25">
        <f>IFERROR(IF($C$12=2,0,IF(OR($G$7="salary and operations",$G$7="Salary"),VLOOKUP($C$2,Takstblad!$B$55:$L$67,2,FALSE)*C$49,0)),0)</f>
        <v>0</v>
      </c>
      <c r="T44" s="25">
        <f>IFERROR(IF($C$12=2,0,IF(OR($G$7="salary and operations",$G$7="Salary"),VLOOKUP($C$2,Takstblad!$B$55:$L$67,2,FALSE)*D$49,0)),0)</f>
        <v>0</v>
      </c>
      <c r="U44" s="25">
        <f>IFERROR(IF($C$12=2,0,IF(OR($G$7="salary and operations",$G$7="Salary"),VLOOKUP($C$2,Takstblad!$B$55:$L$67,2,FALSE)*E$49,0)),0)</f>
        <v>0</v>
      </c>
      <c r="V44" s="25">
        <f>IFERROR(IF($C$12=2,0,IF(OR($G$7="salary and operations",$G$7="Salary"),VLOOKUP($C$2,Takstblad!$B$55:$L$67,2,FALSE)*F$49,0)),0)</f>
        <v>0</v>
      </c>
      <c r="W44" s="25">
        <f>IFERROR(IF($C$12=2,0,IF(OR($G$7="salary and operations",$G$7="Salary"),VLOOKUP($C$2,Takstblad!$B$55:$L$67,2,FALSE)*G$49,0)),0)</f>
        <v>0</v>
      </c>
      <c r="X44" s="25">
        <f>IFERROR(IF($C$12=2,0,IF(OR($G$7="salary and operations",$G$7="Salary"),VLOOKUP($C$2,Takstblad!$B$55:$L$67,2,FALSE)*H$49,0)),0)</f>
        <v>0</v>
      </c>
      <c r="Y44" s="25">
        <f>IFERROR(IF($C$12=2,0,IF(OR($G$7="salary and operations",$G$7="Salary"),VLOOKUP($C$2,Takstblad!$B$55:$L$67,2,FALSE)*I$49,0)),0)</f>
        <v>0</v>
      </c>
      <c r="Z44" s="25">
        <f>IFERROR(IF($C$12=2,0,IF(OR($G$7="salary and operations",$G$7="Salary"),VLOOKUP($C$2,Takstblad!$B$55:$L$67,2,FALSE)*J$49,0)),0)</f>
        <v>0</v>
      </c>
      <c r="AA44" s="25">
        <f>IFERROR(IF($C$12=2,0,IF(OR($G$7="salary and operations",$G$7="Salary"),VLOOKUP($C$2,Takstblad!$B$55:$L$67,2,FALSE)*K$49,0)),0)</f>
        <v>0</v>
      </c>
      <c r="AB44" s="25">
        <f>IFERROR(IF($C$12=2,0,IF(OR($G$7="salary and operations",$G$7="Salary"),VLOOKUP($C$2,Takstblad!$B$55:$L$67,2,FALSE)*L$49,0)),0)</f>
        <v>0</v>
      </c>
      <c r="AC44" s="21">
        <f t="shared" si="55"/>
        <v>0</v>
      </c>
      <c r="AD44" s="7"/>
      <c r="AE44" s="25">
        <f t="shared" ref="AE44:AE45" si="64">+M44*($C$7/12)</f>
        <v>0</v>
      </c>
      <c r="AF44" s="25">
        <f t="shared" ref="AF44:AF45" si="65">IFERROR(AC44/AE44,0)</f>
        <v>0</v>
      </c>
      <c r="AG44" s="7"/>
      <c r="AH44" s="25">
        <f t="shared" ref="AH44:AH45" si="66">+C44*($C$7/12)</f>
        <v>0</v>
      </c>
      <c r="AI44" s="25">
        <f t="shared" ref="AI44:AI45" si="67">IFERROR(S44/AH44,0)</f>
        <v>0</v>
      </c>
      <c r="AJ44" s="7"/>
      <c r="AK44" s="25">
        <f t="shared" ref="AK44:AK45" si="68">+D44*($C$7/12)</f>
        <v>0</v>
      </c>
      <c r="AL44" s="25">
        <f t="shared" ref="AL44:AL45" si="69">IFERROR(T44/AK44,0)</f>
        <v>0</v>
      </c>
      <c r="AM44" s="7"/>
      <c r="AN44" s="25">
        <f t="shared" ref="AN44:AN45" si="70">+E44*($C$7/12)</f>
        <v>0</v>
      </c>
      <c r="AO44" s="25">
        <f t="shared" ref="AO44:AO45" si="71">IFERROR(U44/AN44,0)</f>
        <v>0</v>
      </c>
      <c r="AP44" s="232"/>
      <c r="AQ44" s="25">
        <f t="shared" ref="AQ44:AQ45" si="72">+F44*($C$7/12)</f>
        <v>0</v>
      </c>
      <c r="AR44" s="25">
        <f t="shared" ref="AR44:AR45" si="73">IFERROR(V44/AQ44,0)</f>
        <v>0</v>
      </c>
      <c r="AS44" s="7"/>
      <c r="AT44" s="25">
        <f t="shared" ref="AT44:AT45" si="74">+G44*($C$7/12)</f>
        <v>0</v>
      </c>
      <c r="AU44" s="25">
        <f t="shared" ref="AU44:AU45" si="75">IFERROR(W44/AT44,0)</f>
        <v>0</v>
      </c>
      <c r="AV44" s="7"/>
      <c r="AW44" s="25">
        <f t="shared" ref="AW44:AW45" si="76">+H44*($C$7/12)</f>
        <v>0</v>
      </c>
      <c r="AX44" s="25">
        <f t="shared" ref="AX44:AX45" si="77">IFERROR(X44/AW44,0)</f>
        <v>0</v>
      </c>
      <c r="AY44" s="7"/>
      <c r="AZ44" s="25">
        <f t="shared" ref="AZ44:AZ45" si="78">+I44*($C$7/12)</f>
        <v>0</v>
      </c>
      <c r="BA44" s="25">
        <f t="shared" ref="BA44:BA45" si="79">IFERROR(Y44/AZ44,0)</f>
        <v>0</v>
      </c>
      <c r="BB44" s="7"/>
      <c r="BC44" s="25">
        <f t="shared" ref="BC44:BC45" si="80">+J44*($C$7/12)</f>
        <v>0</v>
      </c>
      <c r="BD44" s="25">
        <f t="shared" ref="BD44:BD45" si="81">IFERROR(Z44/BC44,0)</f>
        <v>0</v>
      </c>
      <c r="BE44" s="7"/>
      <c r="BF44" s="25">
        <f t="shared" si="60"/>
        <v>0</v>
      </c>
      <c r="BG44" s="25">
        <f t="shared" si="61"/>
        <v>0</v>
      </c>
      <c r="BH44" s="7"/>
      <c r="BI44" s="25">
        <f t="shared" si="62"/>
        <v>0</v>
      </c>
      <c r="BJ44" s="25">
        <f t="shared" si="63"/>
        <v>0</v>
      </c>
      <c r="BK44" s="7"/>
      <c r="BL44" s="7"/>
      <c r="BM44" s="7"/>
      <c r="BN44" s="7"/>
    </row>
    <row r="45" spans="1:66" ht="15.6" customHeight="1" thickBot="1" x14ac:dyDescent="0.25">
      <c r="A45" s="5" t="s">
        <v>772</v>
      </c>
      <c r="B45" s="4"/>
      <c r="C4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$33:$O$42,Lister!$D$29,C$33:C$42)-SUMIFS(C$33:C$42,$O$33:$O$42,Lister!$D$29,$A$33:$A$42,Takstblad!$A$34)-SUMIFS(C$33:C$42,$O$33:$O$42,Lister!$D$29,$A$33:$A$42,Takstblad!$A$36)-SUMIFS(C$33:C$42,$O$33:$O$42,Lister!$D$29,$A$33:$A$42,Takstblad!$A$41)-SUMIFS(C$33:C$42,$O$33:$O$42,Lister!$D$29,$A$33:$A$42,Takstblad!$A$42)+SUMIF($O$33:$O$42,Lister!$D$30,C$33:C$42)-SUMIFS(C$33:C$42,$O$33:$O$42,Lister!$D$30,$A$33:$A$42,Takstblad!$A$34)-SUMIFS(C$33:C$42,$O$33:$O$42,Lister!$D$30,$A$33:$A$42,Takstblad!$A$36)-SUMIFS(C$33:C$42,$O$33:$O$42,Lister!$D$30,$A$33:$A$42,Takstblad!$A$41)-SUMIFS(C$33:C$42,$O$33:$O$42,Lister!$D$30,$A$33:$A$42,Takstblad!$A$42))*0.3),0)</f>
        <v>0</v>
      </c>
      <c r="D45" s="169">
        <f>IF($C$2="FOOD",((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$33:$O$42,Lister!$D$29,D$33:D$42)-SUMIFS(D$33:D$42,$O$33:$O$42,Lister!$D$29,$A$33:$A$42,Takstblad!$A$34)-SUMIFS(D$33:D$42,$O$33:$O$42,Lister!$D$29,$A$33:$A$42,Takstblad!$A$36)-SUMIFS(D$33:D$42,$O$33:$O$42,Lister!$D$29,$A$33:$A$42,Takstblad!$A$41)-SUMIFS(D$33:D$42,$O$33:$O$42,Lister!$D$29,$A$33:$A$42,Takstblad!$A$42)+SUMIF($O$33:$O$42,Lister!$D$30,D$33:D$42)-SUMIFS(D$33:D$42,$O$33:$O$42,Lister!$D$30,$A$33:$A$42,Takstblad!$A$34)-SUMIFS(D$33:D$42,$O$33:$O$42,Lister!$D$30,$A$33:$A$42,Takstblad!$A$36)-SUMIFS(D$33:D$42,$O$33:$O$42,Lister!$D$30,$A$33:$A$42,Takstblad!$A$41)-SUMIFS(D$33:D$42,$O$33:$O$42,Lister!$D$30,$A$33:$A$42,Takstblad!$A$42))*0.3),0)</f>
        <v>0</v>
      </c>
      <c r="E45" s="169">
        <f>IF($C$2="FOOD",((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$33:$O$42,Lister!$D$29,E$33:E$42)-SUMIFS(E$33:E$42,$O$33:$O$42,Lister!$D$29,$A$33:$A$42,Takstblad!$A$34)-SUMIFS(E$33:E$42,$O$33:$O$42,Lister!$D$29,$A$33:$A$42,Takstblad!$A$36)-SUMIFS(E$33:E$42,$O$33:$O$42,Lister!$D$29,$A$33:$A$42,Takstblad!$A$41)-SUMIFS(E$33:E$42,$O$33:$O$42,Lister!$D$29,$A$33:$A$42,Takstblad!$A$42)+SUMIF($O$33:$O$42,Lister!$D$30,E$33:E$42)-SUMIFS(E$33:E$42,$O$33:$O$42,Lister!$D$30,$A$33:$A$42,Takstblad!$A$34)-SUMIFS(E$33:E$42,$O$33:$O$42,Lister!$D$30,$A$33:$A$42,Takstblad!$A$36)-SUMIFS(E$33:E$42,$O$33:$O$42,Lister!$D$30,$A$33:$A$42,Takstblad!$A$41)-SUMIFS(E$33:E$42,$O$33:$O$42,Lister!$D$30,$A$33:$A$42,Takstblad!$A$42))*0.3),0)</f>
        <v>0</v>
      </c>
      <c r="F45" s="169">
        <f>IF($C$2="FOOD",((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$33:$O$42,Lister!$D$29,F$33:F$42)-SUMIFS(F$33:F$42,$O$33:$O$42,Lister!$D$29,$A$33:$A$42,Takstblad!$A$34)-SUMIFS(F$33:F$42,$O$33:$O$42,Lister!$D$29,$A$33:$A$42,Takstblad!$A$36)-SUMIFS(F$33:F$42,$O$33:$O$42,Lister!$D$29,$A$33:$A$42,Takstblad!$A$41)-SUMIFS(F$33:F$42,$O$33:$O$42,Lister!$D$29,$A$33:$A$42,Takstblad!$A$42)+SUMIF($O$33:$O$42,Lister!$D$30,F$33:F$42)-SUMIFS(F$33:F$42,$O$33:$O$42,Lister!$D$30,$A$33:$A$42,Takstblad!$A$34)-SUMIFS(F$33:F$42,$O$33:$O$42,Lister!$D$30,$A$33:$A$42,Takstblad!$A$36)-SUMIFS(F$33:F$42,$O$33:$O$42,Lister!$D$30,$A$33:$A$42,Takstblad!$A$41)-SUMIFS(F$33:F$42,$O$33:$O$42,Lister!$D$30,$A$33:$A$42,Takstblad!$A$42))*0.3),0)</f>
        <v>0</v>
      </c>
      <c r="G45" s="169">
        <f>IF($C$2="FOOD",((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$33:$O$42,Lister!$D$29,G$33:G$42)-SUMIFS(G$33:G$42,$O$33:$O$42,Lister!$D$29,$A$33:$A$42,Takstblad!$A$34)-SUMIFS(G$33:G$42,$O$33:$O$42,Lister!$D$29,$A$33:$A$42,Takstblad!$A$36)-SUMIFS(G$33:G$42,$O$33:$O$42,Lister!$D$29,$A$33:$A$42,Takstblad!$A$41)-SUMIFS(G$33:G$42,$O$33:$O$42,Lister!$D$29,$A$33:$A$42,Takstblad!$A$42)+SUMIF($O$33:$O$42,Lister!$D$30,G$33:G$42)-SUMIFS(G$33:G$42,$O$33:$O$42,Lister!$D$30,$A$33:$A$42,Takstblad!$A$34)-SUMIFS(G$33:G$42,$O$33:$O$42,Lister!$D$30,$A$33:$A$42,Takstblad!$A$36)-SUMIFS(G$33:G$42,$O$33:$O$42,Lister!$D$30,$A$33:$A$42,Takstblad!$A$41)-SUMIFS(G$33:G$42,$O$33:$O$42,Lister!$D$30,$A$33:$A$42,Takstblad!$A$42))*0.3),0)</f>
        <v>0</v>
      </c>
      <c r="H45" s="169">
        <f>IF($C$2="FOOD",((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$33:$O$42,Lister!$D$29,H$33:H$42)-SUMIFS(H$33:H$42,$O$33:$O$42,Lister!$D$29,$A$33:$A$42,Takstblad!$A$34)-SUMIFS(H$33:H$42,$O$33:$O$42,Lister!$D$29,$A$33:$A$42,Takstblad!$A$36)-SUMIFS(H$33:H$42,$O$33:$O$42,Lister!$D$29,$A$33:$A$42,Takstblad!$A$41)-SUMIFS(H$33:H$42,$O$33:$O$42,Lister!$D$29,$A$33:$A$42,Takstblad!$A$42)+SUMIF($O$33:$O$42,Lister!$D$30,H$33:H$42)-SUMIFS(H$33:H$42,$O$33:$O$42,Lister!$D$30,$A$33:$A$42,Takstblad!$A$34)-SUMIFS(H$33:H$42,$O$33:$O$42,Lister!$D$30,$A$33:$A$42,Takstblad!$A$36)-SUMIFS(H$33:H$42,$O$33:$O$42,Lister!$D$30,$A$33:$A$42,Takstblad!$A$41)-SUMIFS(H$33:H$42,$O$33:$O$42,Lister!$D$30,$A$33:$A$42,Takstblad!$A$42))*0.3),0)</f>
        <v>0</v>
      </c>
      <c r="I45" s="170">
        <f>IF($C$2="FOOD",((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$33:$O$42,Lister!$D$29,I$33:I$42)-SUMIFS(I$33:I$42,$O$33:$O$42,Lister!$D$29,$A$33:$A$42,Takstblad!$A$34)-SUMIFS(I$33:I$42,$O$33:$O$42,Lister!$D$29,$A$33:$A$42,Takstblad!$A$36)-SUMIFS(I$33:I$42,$O$33:$O$42,Lister!$D$29,$A$33:$A$42,Takstblad!$A$41)-SUMIFS(I$33:I$42,$O$33:$O$42,Lister!$D$29,$A$33:$A$42,Takstblad!$A$42)+SUMIF($O$33:$O$42,Lister!$D$30,I$33:I$42)-SUMIFS(I$33:I$42,$O$33:$O$42,Lister!$D$30,$A$33:$A$42,Takstblad!$A$34)-SUMIFS(I$33:I$42,$O$33:$O$42,Lister!$D$30,$A$33:$A$42,Takstblad!$A$36)-SUMIFS(I$33:I$42,$O$33:$O$42,Lister!$D$30,$A$33:$A$42,Takstblad!$A$41)-SUMIFS(I$33:I$42,$O$33:$O$42,Lister!$D$30,$A$33:$A$42,Takstblad!$A$42))*0.3),0)</f>
        <v>0</v>
      </c>
      <c r="J45" s="170">
        <f>IF($C$2="FOOD",((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$33:$O$42,Lister!$D$29,J$33:J$42)-SUMIFS(J$33:J$42,$O$33:$O$42,Lister!$D$29,$A$33:$A$42,Takstblad!$A$34)-SUMIFS(J$33:J$42,$O$33:$O$42,Lister!$D$29,$A$33:$A$42,Takstblad!$A$36)-SUMIFS(J$33:J$42,$O$33:$O$42,Lister!$D$29,$A$33:$A$42,Takstblad!$A$41)-SUMIFS(J$33:J$42,$O$33:$O$42,Lister!$D$29,$A$33:$A$42,Takstblad!$A$42)+SUMIF($O$33:$O$42,Lister!$D$30,J$33:J$42)-SUMIFS(J$33:J$42,$O$33:$O$42,Lister!$D$30,$A$33:$A$42,Takstblad!$A$34)-SUMIFS(J$33:J$42,$O$33:$O$42,Lister!$D$30,$A$33:$A$42,Takstblad!$A$36)-SUMIFS(J$33:J$42,$O$33:$O$42,Lister!$D$30,$A$33:$A$42,Takstblad!$A$41)-SUMIFS(J$33:J$42,$O$33:$O$42,Lister!$D$30,$A$33:$A$42,Takstblad!$A$42))*0.3),0)</f>
        <v>0</v>
      </c>
      <c r="K45" s="170">
        <f>IF($C$2="FOOD",((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$33:$O$42,Lister!$D$29,K$33:K$42)-SUMIFS(K$33:K$42,$O$33:$O$42,Lister!$D$29,$A$33:$A$42,Takstblad!$A$34)-SUMIFS(K$33:K$42,$O$33:$O$42,Lister!$D$29,$A$33:$A$42,Takstblad!$A$36)-SUMIFS(K$33:K$42,$O$33:$O$42,Lister!$D$29,$A$33:$A$42,Takstblad!$A$41)-SUMIFS(K$33:K$42,$O$33:$O$42,Lister!$D$29,$A$33:$A$42,Takstblad!$A$42)+SUMIF($O$33:$O$42,Lister!$D$30,K$33:K$42)-SUMIFS(K$33:K$42,$O$33:$O$42,Lister!$D$30,$A$33:$A$42,Takstblad!$A$34)-SUMIFS(K$33:K$42,$O$33:$O$42,Lister!$D$30,$A$33:$A$42,Takstblad!$A$36)-SUMIFS(K$33:K$42,$O$33:$O$42,Lister!$D$30,$A$33:$A$42,Takstblad!$A$41)-SUMIFS(K$33:K$42,$O$33:$O$42,Lister!$D$30,$A$33:$A$42,Takstblad!$A$42))*0.3),0)</f>
        <v>0</v>
      </c>
      <c r="L45" s="170">
        <f>IF($C$2="FOOD",((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$33:$O$42,Lister!$D$29,L$33:L$42)-SUMIFS(L$33:L$42,$O$33:$O$42,Lister!$D$29,$A$33:$A$42,Takstblad!$A$34)-SUMIFS(L$33:L$42,$O$33:$O$42,Lister!$D$29,$A$33:$A$42,Takstblad!$A$36)-SUMIFS(L$33:L$42,$O$33:$O$42,Lister!$D$29,$A$33:$A$42,Takstblad!$A$41)-SUMIFS(L$33:L$42,$O$33:$O$42,Lister!$D$29,$A$33:$A$42,Takstblad!$A$42)+SUMIF($O$33:$O$42,Lister!$D$30,L$33:L$42)-SUMIFS(L$33:L$42,$O$33:$O$42,Lister!$D$30,$A$33:$A$42,Takstblad!$A$34)-SUMIFS(L$33:L$42,$O$33:$O$42,Lister!$D$30,$A$33:$A$42,Takstblad!$A$36)-SUMIFS(L$33:L$42,$O$33:$O$42,Lister!$D$30,$A$33:$A$42,Takstblad!$A$41)-SUMIFS(L$33:L$42,$O$33:$O$42,Lister!$D$30,$A$33:$A$42,Takstblad!$A$42))*0.3),0)</f>
        <v>0</v>
      </c>
      <c r="M45" s="65">
        <f t="shared" si="54"/>
        <v>0</v>
      </c>
      <c r="N45" s="171"/>
      <c r="O45" s="168" t="s">
        <v>152</v>
      </c>
      <c r="P45" s="11"/>
      <c r="Q45" s="27"/>
      <c r="R45" s="213">
        <f t="shared" si="39"/>
        <v>0</v>
      </c>
      <c r="S45" s="25">
        <f>+C45*Takstblad!C38</f>
        <v>0</v>
      </c>
      <c r="T45" s="25">
        <f>+D45*Takstblad!D38</f>
        <v>0</v>
      </c>
      <c r="U45" s="25">
        <f>+E45*Takstblad!E38</f>
        <v>0</v>
      </c>
      <c r="V45" s="25">
        <f>+F45*Takstblad!F38</f>
        <v>0</v>
      </c>
      <c r="W45" s="25">
        <f>+G45*Takstblad!G38</f>
        <v>0</v>
      </c>
      <c r="X45" s="25">
        <f>+H45*Takstblad!H38</f>
        <v>0</v>
      </c>
      <c r="Y45" s="25">
        <f>+I45*Takstblad!I38</f>
        <v>0</v>
      </c>
      <c r="Z45" s="25">
        <f>+J45*Takstblad!J38</f>
        <v>0</v>
      </c>
      <c r="AA45" s="25">
        <f>+K45*Takstblad!K38</f>
        <v>0</v>
      </c>
      <c r="AB45" s="25">
        <f>+L45*Takstblad!L38</f>
        <v>0</v>
      </c>
      <c r="AC45" s="25">
        <f t="shared" si="55"/>
        <v>0</v>
      </c>
      <c r="AE45" s="25">
        <f t="shared" si="64"/>
        <v>0</v>
      </c>
      <c r="AF45" s="25">
        <f t="shared" si="65"/>
        <v>0</v>
      </c>
      <c r="AH45" s="25">
        <f t="shared" si="66"/>
        <v>0</v>
      </c>
      <c r="AI45" s="25">
        <f t="shared" si="67"/>
        <v>0</v>
      </c>
      <c r="AK45" s="25">
        <f t="shared" si="68"/>
        <v>0</v>
      </c>
      <c r="AL45" s="25">
        <f t="shared" si="69"/>
        <v>0</v>
      </c>
      <c r="AN45" s="25">
        <f t="shared" si="70"/>
        <v>0</v>
      </c>
      <c r="AO45" s="25">
        <f t="shared" si="71"/>
        <v>0</v>
      </c>
      <c r="AQ45" s="25">
        <f t="shared" si="72"/>
        <v>0</v>
      </c>
      <c r="AR45" s="25">
        <f t="shared" si="73"/>
        <v>0</v>
      </c>
      <c r="AT45" s="25">
        <f t="shared" si="74"/>
        <v>0</v>
      </c>
      <c r="AU45" s="25">
        <f t="shared" si="75"/>
        <v>0</v>
      </c>
      <c r="AW45" s="25">
        <f t="shared" si="76"/>
        <v>0</v>
      </c>
      <c r="AX45" s="25">
        <f t="shared" si="77"/>
        <v>0</v>
      </c>
      <c r="AZ45" s="25">
        <f t="shared" si="78"/>
        <v>0</v>
      </c>
      <c r="BA45" s="25">
        <f t="shared" si="79"/>
        <v>0</v>
      </c>
      <c r="BC45" s="25">
        <f t="shared" si="80"/>
        <v>0</v>
      </c>
      <c r="BD45" s="25">
        <f t="shared" si="81"/>
        <v>0</v>
      </c>
      <c r="BF45" s="25">
        <f t="shared" si="60"/>
        <v>0</v>
      </c>
      <c r="BG45" s="25">
        <f t="shared" si="61"/>
        <v>0</v>
      </c>
      <c r="BI45" s="25">
        <f t="shared" si="62"/>
        <v>0</v>
      </c>
      <c r="BJ45" s="25">
        <f t="shared" si="63"/>
        <v>0</v>
      </c>
    </row>
    <row r="46" spans="1:66" ht="15.6" customHeight="1" thickBot="1" x14ac:dyDescent="0.25">
      <c r="A46" s="4" t="s">
        <v>71</v>
      </c>
      <c r="B46" s="4"/>
      <c r="C46" s="12">
        <f t="shared" ref="C46:J46" si="82">SUM(C33:C45)</f>
        <v>0</v>
      </c>
      <c r="D46" s="12">
        <f t="shared" si="82"/>
        <v>0</v>
      </c>
      <c r="E46" s="12">
        <f t="shared" si="82"/>
        <v>0</v>
      </c>
      <c r="F46" s="12">
        <f t="shared" si="82"/>
        <v>0</v>
      </c>
      <c r="G46" s="12">
        <f t="shared" si="82"/>
        <v>0</v>
      </c>
      <c r="H46" s="12">
        <f t="shared" si="82"/>
        <v>0</v>
      </c>
      <c r="I46" s="12">
        <f t="shared" si="82"/>
        <v>0</v>
      </c>
      <c r="J46" s="12">
        <f t="shared" si="82"/>
        <v>0</v>
      </c>
      <c r="K46" s="12">
        <f t="shared" ref="K46" si="83">SUM(K33:K45)</f>
        <v>0</v>
      </c>
      <c r="L46" s="12">
        <f>SUM(L33:L45)</f>
        <v>0</v>
      </c>
      <c r="M46" s="12">
        <f t="shared" si="54"/>
        <v>0</v>
      </c>
      <c r="N46" s="12"/>
      <c r="O46" s="48"/>
      <c r="P46" s="48"/>
      <c r="Q46" s="23" t="s">
        <v>75</v>
      </c>
      <c r="R46" s="46">
        <f t="shared" si="39"/>
        <v>0</v>
      </c>
      <c r="S46" s="22">
        <f t="shared" ref="S46:Z46" si="84">SUM(S33:S45)</f>
        <v>0</v>
      </c>
      <c r="T46" s="22">
        <f t="shared" si="84"/>
        <v>0</v>
      </c>
      <c r="U46" s="22">
        <f t="shared" si="84"/>
        <v>0</v>
      </c>
      <c r="V46" s="22">
        <f t="shared" si="84"/>
        <v>0</v>
      </c>
      <c r="W46" s="22">
        <f t="shared" si="84"/>
        <v>0</v>
      </c>
      <c r="X46" s="22">
        <f t="shared" si="84"/>
        <v>0</v>
      </c>
      <c r="Y46" s="51">
        <f t="shared" si="84"/>
        <v>0</v>
      </c>
      <c r="Z46" s="51">
        <f t="shared" si="84"/>
        <v>0</v>
      </c>
      <c r="AA46" s="51">
        <f t="shared" ref="AA46:AB46" si="85">SUM(AA33:AA45)</f>
        <v>0</v>
      </c>
      <c r="AB46" s="51">
        <f t="shared" si="85"/>
        <v>0</v>
      </c>
      <c r="AC46" s="46">
        <f t="shared" si="55"/>
        <v>0</v>
      </c>
      <c r="AE46" s="22">
        <f>SUM(AE33:AE45)</f>
        <v>0</v>
      </c>
      <c r="AF46" s="13">
        <f>IFERROR(AC46/AE46,0)</f>
        <v>0</v>
      </c>
      <c r="AH46" s="22">
        <f>SUM(AH33:AH45)</f>
        <v>0</v>
      </c>
      <c r="AI46" s="13">
        <f t="shared" si="43"/>
        <v>0</v>
      </c>
      <c r="AK46" s="22">
        <f>SUM(AK33:AK45)</f>
        <v>0</v>
      </c>
      <c r="AL46" s="13">
        <f t="shared" si="45"/>
        <v>0</v>
      </c>
      <c r="AN46" s="22">
        <f>SUM(AN33:AN45)</f>
        <v>0</v>
      </c>
      <c r="AO46" s="13">
        <f t="shared" si="47"/>
        <v>0</v>
      </c>
      <c r="AQ46" s="22">
        <f>SUM(AQ33:AQ45)</f>
        <v>0</v>
      </c>
      <c r="AR46" s="13">
        <f t="shared" si="49"/>
        <v>0</v>
      </c>
      <c r="AT46" s="22">
        <f>SUM(AT33:AT45)</f>
        <v>0</v>
      </c>
      <c r="AU46" s="13">
        <f t="shared" si="51"/>
        <v>0</v>
      </c>
      <c r="AW46" s="22">
        <f>SUM(AW33:AW45)</f>
        <v>0</v>
      </c>
      <c r="AX46" s="13">
        <f t="shared" si="53"/>
        <v>0</v>
      </c>
      <c r="AZ46" s="22">
        <f>SUM(AZ33:AZ45)</f>
        <v>0</v>
      </c>
      <c r="BA46" s="13">
        <f t="shared" si="57"/>
        <v>0</v>
      </c>
      <c r="BC46" s="22">
        <f>SUM(BC33:BC45)</f>
        <v>0</v>
      </c>
      <c r="BD46" s="13">
        <f t="shared" si="59"/>
        <v>0</v>
      </c>
      <c r="BF46" s="22">
        <f>SUM(BF33:BF45)</f>
        <v>0</v>
      </c>
      <c r="BG46" s="13">
        <f t="shared" ref="BG46" si="86">IFERROR(AC46/BF46,0)</f>
        <v>0</v>
      </c>
      <c r="BI46" s="22">
        <f>SUM(BI33:BI45)</f>
        <v>0</v>
      </c>
      <c r="BJ46" s="13">
        <f t="shared" ref="BJ46" si="87">IFERROR(AF46/BI46,0)</f>
        <v>0</v>
      </c>
      <c r="BK46" s="70"/>
      <c r="BL46" s="70"/>
      <c r="BM46" s="70"/>
    </row>
    <row r="47" spans="1:66" ht="15.6" customHeight="1" x14ac:dyDescent="0.2">
      <c r="A47" s="9"/>
      <c r="B47" s="48"/>
      <c r="C47" s="48"/>
      <c r="D47" s="48"/>
      <c r="E47" s="48"/>
      <c r="F47" s="48"/>
      <c r="G47" s="48"/>
      <c r="H47" s="48"/>
      <c r="I47" s="48"/>
      <c r="J47" s="48"/>
      <c r="K47" s="48"/>
      <c r="L47" s="48"/>
      <c r="M47" s="48"/>
      <c r="N47" s="48"/>
      <c r="O47" s="48"/>
      <c r="P47" s="48"/>
      <c r="Q47" s="23"/>
      <c r="R47" s="5"/>
      <c r="S47" s="4"/>
      <c r="T47" s="4"/>
      <c r="U47" s="4"/>
      <c r="V47" s="4"/>
      <c r="W47" s="4"/>
      <c r="X47" s="4"/>
      <c r="Y47" s="4"/>
      <c r="Z47" s="4"/>
      <c r="AA47" s="4"/>
      <c r="AB47" s="4"/>
      <c r="AC47" s="5"/>
      <c r="AD47" s="70"/>
      <c r="AE47" s="76"/>
      <c r="AF47" s="76"/>
      <c r="AG47" s="70"/>
      <c r="AH47" s="77"/>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row>
    <row r="48" spans="1:66" ht="15.6" hidden="1" customHeight="1" x14ac:dyDescent="0.2">
      <c r="A48" s="9" t="s">
        <v>185</v>
      </c>
      <c r="B48" s="48"/>
      <c r="C48" s="109">
        <f>+SUMIF($O$20:$O$29,Lister!$D$30,C20:C29)-SUMIFS(C20:C29,$O$20:$O$29,Lister!$D$30,$B$20:$B$29,Lister!$B$20)-+SUMIFS(C33:C42,$O$33:$O$42,Lister!$D$30,$B$33:$B$42,Lister!$A$24)+SUMIF($O$20:$O$29,Lister!$D$29,C20:C29)-SUMIFS(C20:C29,$O$20:$O$29,Lister!$D$29,$B$20:$B$29,Lister!$B$20)+SUMIFS(C33:C42,$O$33:$O$42,Lister!$D$29,$B$33:$B$42,Lister!$A$24)</f>
        <v>0</v>
      </c>
      <c r="D48" s="109">
        <f>+SUMIF($O$20:$O$29,Lister!$D$30,D20:D29)-SUMIFS(D20:D29,$O$20:$O$29,Lister!$D$30,$B$20:$B$29,Lister!$B$20)-+SUMIFS(D33:D42,$O$33:$O$42,Lister!$D$30,$B$33:$B$42,Lister!$A$24)+SUMIF($O$20:$O$29,Lister!$D$29,D20:D29)-SUMIFS(D20:D29,$O$20:$O$29,Lister!$D$29,$B$20:$B$29,Lister!$B$20)+SUMIFS(D33:D42,$O$33:$O$42,Lister!$D$29,$B$33:$B$42,Lister!$A$24)</f>
        <v>0</v>
      </c>
      <c r="E48" s="109">
        <f>+SUMIF($O$20:$O$29,Lister!$D$30,E20:E29)-SUMIFS(E20:E29,$O$20:$O$29,Lister!$D$30,$B$20:$B$29,Lister!$B$20)-+SUMIFS(E33:E42,$O$33:$O$42,Lister!$D$30,$B$33:$B$42,Lister!$A$24)+SUMIF($O$20:$O$29,Lister!$D$29,E20:E29)-SUMIFS(E20:E29,$O$20:$O$29,Lister!$D$29,$B$20:$B$29,Lister!$B$20)+SUMIFS(E33:E42,$O$33:$O$42,Lister!$D$29,$B$33:$B$42,Lister!$A$24)</f>
        <v>0</v>
      </c>
      <c r="F48" s="109">
        <f>+SUMIF($O$20:$O$29,Lister!$D$30,F20:F29)-SUMIFS(F20:F29,$O$20:$O$29,Lister!$D$30,$B$20:$B$29,Lister!$B$20)-+SUMIFS(F33:F42,$O$33:$O$42,Lister!$D$30,$B$33:$B$42,Lister!$A$24)+SUMIF($O$20:$O$29,Lister!$D$29,F20:F29)-SUMIFS(F20:F29,$O$20:$O$29,Lister!$D$29,$B$20:$B$29,Lister!$B$20)+SUMIFS(F33:F42,$O$33:$O$42,Lister!$D$29,$B$33:$B$42,Lister!$A$24)</f>
        <v>0</v>
      </c>
      <c r="G48" s="109">
        <f>+SUMIF($O$20:$O$29,Lister!$D$30,G20:G29)-SUMIFS(G20:G29,$O$20:$O$29,Lister!$D$30,$B$20:$B$29,Lister!$B$20)-+SUMIFS(G33:G42,$O$33:$O$42,Lister!$D$30,$B$33:$B$42,Lister!$A$24)+SUMIF($O$20:$O$29,Lister!$D$29,G20:G29)-SUMIFS(G20:G29,$O$20:$O$29,Lister!$D$29,$B$20:$B$29,Lister!$B$20)+SUMIFS(G33:G42,$O$33:$O$42,Lister!$D$29,$B$33:$B$42,Lister!$A$24)</f>
        <v>0</v>
      </c>
      <c r="H48" s="109">
        <f>+SUMIF($O$20:$O$29,Lister!$D$30,H20:H29)-SUMIFS(H20:H29,$O$20:$O$29,Lister!$D$30,$B$20:$B$29,Lister!$B$20)-+SUMIFS(H33:H42,$O$33:$O$42,Lister!$D$30,$B$33:$B$42,Lister!$A$24)+SUMIF($O$20:$O$29,Lister!$D$29,H20:H29)-SUMIFS(H20:H29,$O$20:$O$29,Lister!$D$29,$B$20:$B$29,Lister!$B$20)+SUMIFS(H33:H42,$O$33:$O$42,Lister!$D$29,$B$33:$B$42,Lister!$A$24)</f>
        <v>0</v>
      </c>
      <c r="I48" s="109">
        <f>+SUMIF($O$20:$O$29,Lister!$D$30,I20:I29)-SUMIFS(I20:I29,$O$20:$O$29,Lister!$D$30,$B$20:$B$29,Lister!$B$20)-+SUMIFS(I33:I42,$O$33:$O$42,Lister!$D$30,$B$33:$B$42,Lister!$A$24)+SUMIF($O$20:$O$29,Lister!$D$29,I20:I29)-SUMIFS(I20:I29,$O$20:$O$29,Lister!$D$29,$B$20:$B$29,Lister!$B$20)+SUMIFS(I33:I42,$O$33:$O$42,Lister!$D$29,$B$33:$B$42,Lister!$A$24)</f>
        <v>0</v>
      </c>
      <c r="J48" s="109">
        <f>+SUMIF($O$20:$O$29,Lister!$D$30,J20:J29)-SUMIFS(J20:J29,$O$20:$O$29,Lister!$D$30,$B$20:$B$29,Lister!$B$20)-+SUMIFS(J33:J42,$O$33:$O$42,Lister!$D$30,$B$33:$B$42,Lister!$A$24)+SUMIF($O$20:$O$29,Lister!$D$29,J20:J29)-SUMIFS(J20:J29,$O$20:$O$29,Lister!$D$29,$B$20:$B$29,Lister!$B$20)+SUMIFS(J33:J42,$O$33:$O$42,Lister!$D$29,$B$33:$B$42,Lister!$A$24)</f>
        <v>0</v>
      </c>
      <c r="K48" s="109">
        <f>+SUMIF($O$20:$O$29,Lister!$D$30,K20:K29)-SUMIFS(K20:K29,$O$20:$O$29,Lister!$D$30,$B$20:$B$29,Lister!$B$20)-+SUMIFS(K33:K42,$O$33:$O$42,Lister!$D$30,$B$33:$B$42,Lister!$A$24)+SUMIF($O$20:$O$29,Lister!$D$29,K20:K29)-SUMIFS(K20:K29,$O$20:$O$29,Lister!$D$29,$B$20:$B$29,Lister!$B$20)+SUMIFS(K33:K42,$O$33:$O$42,Lister!$D$29,$B$33:$B$42,Lister!$A$24)</f>
        <v>0</v>
      </c>
      <c r="L48" s="109">
        <f>+SUMIF($O$20:$O$29,Lister!$D$30,L20:L29)-SUMIFS(L20:L29,$O$20:$O$29,Lister!$D$30,$B$20:$B$29,Lister!$B$20)-+SUMIFS(L33:L42,$O$33:$O$42,Lister!$D$30,$B$33:$B$42,Lister!$A$24)+SUMIF($O$20:$O$29,Lister!$D$29,L20:L29)-SUMIFS(L20:L29,$O$20:$O$29,Lister!$D$29,$B$20:$B$29,Lister!$B$20)+SUMIFS(L33:L42,$O$33:$O$42,Lister!$D$29,$B$33:$B$42,Lister!$A$24)</f>
        <v>0</v>
      </c>
      <c r="M48" s="48"/>
      <c r="N48" s="48"/>
      <c r="O48" s="48"/>
      <c r="P48" s="48"/>
      <c r="Q48" s="23"/>
      <c r="R48" s="5"/>
      <c r="S48" s="4"/>
      <c r="T48" s="4"/>
      <c r="U48" s="4"/>
      <c r="V48" s="4"/>
      <c r="W48" s="4"/>
      <c r="X48" s="4"/>
      <c r="Y48" s="4"/>
      <c r="Z48" s="4"/>
      <c r="AA48" s="4"/>
      <c r="AB48" s="4"/>
      <c r="AC48" s="5"/>
      <c r="AD48" s="70"/>
      <c r="AE48" s="76"/>
      <c r="AF48" s="76"/>
      <c r="AG48" s="70"/>
      <c r="AH48" s="77"/>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row>
    <row r="49" spans="1:65" ht="15.6" hidden="1" customHeight="1" x14ac:dyDescent="0.2">
      <c r="A49" s="9" t="s">
        <v>186</v>
      </c>
      <c r="B49" s="48"/>
      <c r="C49" s="109">
        <f>+SUMIF($O$20:$O$29,Lister!$D$31,C20:C29)-SUMIFS(C20:C29,$O$20:$O$29,Lister!$D$31,$B$20:$B$29,Lister!$B$20)+SUMIFS(C33:C42,$O$33:$O$42,Lister!$D$31,$B$33:$B$42,Lister!$A$24)</f>
        <v>0</v>
      </c>
      <c r="D49" s="109">
        <f>+SUMIF($O$20:$O$29,Lister!$D$31,D20:D29)-SUMIFS(D20:D29,$O$20:$O$29,Lister!$D$31,$B$20:$B$29,Lister!$B$20)+SUMIFS(D33:D42,$O$33:$O$42,Lister!$D$31,$B$33:$B$42,Lister!$A$24)</f>
        <v>0</v>
      </c>
      <c r="E49" s="109">
        <f>+SUMIF($O$20:$O$29,Lister!$D$31,E20:E29)-SUMIFS(E20:E29,$O$20:$O$29,Lister!$D$31,$B$20:$B$29,Lister!$B$20)+SUMIFS(E33:E42,$O$33:$O$42,Lister!$D$31,$B$33:$B$42,Lister!$A$24)</f>
        <v>0</v>
      </c>
      <c r="F49" s="109">
        <f>+SUMIF($O$20:$O$29,Lister!$D$31,F20:F29)-SUMIFS(F20:F29,$O$20:$O$29,Lister!$D$31,$B$20:$B$29,Lister!$B$20)+SUMIFS(F33:F42,$O$33:$O$42,Lister!$D$31,$B$33:$B$42,Lister!$A$24)</f>
        <v>0</v>
      </c>
      <c r="G49" s="109">
        <f>+SUMIF($O$20:$O$29,Lister!$D$31,G20:G29)-SUMIFS(G20:G29,$O$20:$O$29,Lister!$D$31,$B$20:$B$29,Lister!$B$20)+SUMIFS(G33:G42,$O$33:$O$42,Lister!$D$31,$B$33:$B$42,Lister!$A$24)</f>
        <v>0</v>
      </c>
      <c r="H49" s="109">
        <f>+SUMIF($O$20:$O$29,Lister!$D$31,H20:H29)-SUMIFS(H20:H29,$O$20:$O$29,Lister!$D$31,$B$20:$B$29,Lister!$B$20)+SUMIFS(H33:H42,$O$33:$O$42,Lister!$D$31,$B$33:$B$42,Lister!$A$24)</f>
        <v>0</v>
      </c>
      <c r="I49" s="109">
        <f>+SUMIF($O$20:$O$29,Lister!$D$31,I20:I29)-SUMIFS(I20:I29,$O$20:$O$29,Lister!$D$31,$B$20:$B$29,Lister!$B$20)+SUMIFS(I33:I42,$O$33:$O$42,Lister!$D$31,$B$33:$B$42,Lister!$A$24)</f>
        <v>0</v>
      </c>
      <c r="J49" s="109">
        <f>+SUMIF($O$20:$O$29,Lister!$D$31,J20:J29)-SUMIFS(J20:J29,$O$20:$O$29,Lister!$D$31,$B$20:$B$29,Lister!$B$20)+SUMIFS(J33:J42,$O$33:$O$42,Lister!$D$31,$B$33:$B$42,Lister!$A$24)</f>
        <v>0</v>
      </c>
      <c r="K49" s="109">
        <f>+SUMIF($O$20:$O$29,Lister!$D$31,K20:K29)-SUMIFS(K20:K29,$O$20:$O$29,Lister!$D$31,$B$20:$B$29,Lister!$B$20)+SUMIFS(K33:K42,$O$33:$O$42,Lister!$D$31,$B$33:$B$42,Lister!$A$24)</f>
        <v>0</v>
      </c>
      <c r="L49" s="109">
        <f>+SUMIF($O$20:$O$29,Lister!$D$31,L20:L29)-SUMIFS(L20:L29,$O$20:$O$29,Lister!$D$31,$B$20:$B$29,Lister!$B$20)+SUMIFS(L33:L42,$O$33:$O$42,Lister!$D$31,$B$33:$B$42,Lister!$A$24)</f>
        <v>0</v>
      </c>
      <c r="M49" s="48"/>
      <c r="N49" s="48"/>
      <c r="O49" s="48"/>
      <c r="P49" s="48"/>
      <c r="Q49" s="23"/>
      <c r="R49" s="5"/>
      <c r="S49" s="4"/>
      <c r="T49" s="4"/>
      <c r="U49" s="4"/>
      <c r="V49" s="4"/>
      <c r="W49" s="4"/>
      <c r="X49" s="4"/>
      <c r="Y49" s="4"/>
      <c r="Z49" s="4"/>
      <c r="AA49" s="4"/>
      <c r="AB49" s="4"/>
      <c r="AC49" s="5"/>
      <c r="AD49" s="70"/>
      <c r="AE49" s="76"/>
      <c r="AF49" s="76"/>
      <c r="AG49" s="70"/>
      <c r="AH49" s="77"/>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row>
    <row r="50" spans="1:65" ht="15.6" customHeight="1" x14ac:dyDescent="0.2">
      <c r="A50" s="9"/>
      <c r="B50" s="48"/>
      <c r="C50" s="48"/>
      <c r="D50" s="48"/>
      <c r="E50" s="48"/>
      <c r="F50" s="48"/>
      <c r="G50" s="48"/>
      <c r="H50" s="48"/>
      <c r="I50" s="48"/>
      <c r="J50" s="48"/>
      <c r="K50" s="48"/>
      <c r="L50" s="48"/>
      <c r="M50" s="48"/>
      <c r="N50" s="48"/>
      <c r="O50" s="48"/>
      <c r="P50" s="48"/>
      <c r="Q50" s="70"/>
      <c r="R50" s="70"/>
      <c r="S50" s="77"/>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65" ht="15.6" customHeight="1" thickBot="1" x14ac:dyDescent="0.25">
      <c r="A51" s="4" t="s">
        <v>91</v>
      </c>
      <c r="B51" s="8"/>
      <c r="C51" s="8">
        <f t="shared" ref="C51:L51" si="88">+C19</f>
        <v>2025</v>
      </c>
      <c r="D51" s="8">
        <f t="shared" si="88"/>
        <v>2026</v>
      </c>
      <c r="E51" s="8">
        <f t="shared" si="88"/>
        <v>2027</v>
      </c>
      <c r="F51" s="8">
        <f t="shared" si="88"/>
        <v>2028</v>
      </c>
      <c r="G51" s="8">
        <f t="shared" si="88"/>
        <v>2029</v>
      </c>
      <c r="H51" s="8">
        <f t="shared" si="88"/>
        <v>2030</v>
      </c>
      <c r="I51" s="8">
        <f t="shared" si="88"/>
        <v>2031</v>
      </c>
      <c r="J51" s="8">
        <f t="shared" si="88"/>
        <v>2032</v>
      </c>
      <c r="K51" s="8">
        <f t="shared" si="88"/>
        <v>2033</v>
      </c>
      <c r="L51" s="8">
        <f t="shared" si="88"/>
        <v>2034</v>
      </c>
      <c r="M51" s="8" t="s">
        <v>34</v>
      </c>
      <c r="N51" s="8"/>
      <c r="O51" s="8"/>
      <c r="P51" s="8"/>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65" s="9" customFormat="1" ht="15.6" customHeight="1" x14ac:dyDescent="0.25">
      <c r="A52" s="230" t="s">
        <v>114</v>
      </c>
      <c r="B52" s="231"/>
      <c r="C52" s="302"/>
      <c r="D52" s="302"/>
      <c r="E52" s="302"/>
      <c r="F52" s="302"/>
      <c r="G52" s="302"/>
      <c r="H52" s="302"/>
      <c r="I52" s="302"/>
      <c r="J52" s="302"/>
      <c r="K52" s="302"/>
      <c r="L52" s="302"/>
      <c r="M52" s="21">
        <f>SUM(C52:L52)</f>
        <v>0</v>
      </c>
      <c r="N52" s="299"/>
      <c r="O52" s="299" t="s">
        <v>113</v>
      </c>
      <c r="P52" s="7"/>
      <c r="Q52" s="129" t="s">
        <v>101</v>
      </c>
      <c r="R52" s="132"/>
      <c r="S52" s="130"/>
      <c r="T52" s="144"/>
      <c r="U52" s="144"/>
      <c r="V52" s="144"/>
      <c r="W52" s="144"/>
      <c r="X52" s="319"/>
      <c r="Y52" s="144"/>
      <c r="Z52" s="144"/>
      <c r="AA52" s="144"/>
      <c r="AB52" s="144"/>
      <c r="AC52" s="132"/>
      <c r="AF52" s="70"/>
      <c r="AG52" s="70"/>
      <c r="AH52" s="70"/>
      <c r="AI52" s="70"/>
      <c r="AJ52" s="70"/>
      <c r="AK52" s="70"/>
      <c r="AL52" s="70"/>
      <c r="AM52" s="70"/>
      <c r="AN52" s="70"/>
      <c r="AO52" s="70"/>
      <c r="AP52" s="70"/>
      <c r="AQ52" s="70"/>
      <c r="AR52" s="71"/>
      <c r="AS52" s="71"/>
      <c r="AT52" s="71"/>
      <c r="AU52" s="71"/>
      <c r="AV52" s="71"/>
      <c r="AW52" s="71"/>
      <c r="AX52" s="71"/>
      <c r="AY52" s="71"/>
      <c r="AZ52" s="71"/>
    </row>
    <row r="53" spans="1:65" ht="15.6" customHeight="1" x14ac:dyDescent="0.2">
      <c r="A53" s="210" t="s">
        <v>114</v>
      </c>
      <c r="B53" s="16"/>
      <c r="C53" s="302"/>
      <c r="D53" s="302"/>
      <c r="E53" s="302"/>
      <c r="F53" s="302"/>
      <c r="G53" s="302"/>
      <c r="H53" s="302"/>
      <c r="I53" s="302"/>
      <c r="J53" s="302"/>
      <c r="K53" s="302"/>
      <c r="L53" s="302"/>
      <c r="M53" s="21">
        <f t="shared" ref="M53:M65" si="89">SUM(C53:L53)</f>
        <v>0</v>
      </c>
      <c r="N53" s="299"/>
      <c r="O53" s="299" t="s">
        <v>113</v>
      </c>
      <c r="Q53" s="116" t="s">
        <v>22</v>
      </c>
      <c r="R53" s="133" t="s">
        <v>34</v>
      </c>
      <c r="S53" s="45">
        <f>+S19</f>
        <v>2025</v>
      </c>
      <c r="T53" s="45">
        <f>+S53+1</f>
        <v>2026</v>
      </c>
      <c r="U53" s="8">
        <f t="shared" ref="U53:Z53" si="90">+T53+1</f>
        <v>2027</v>
      </c>
      <c r="V53" s="8">
        <f t="shared" si="90"/>
        <v>2028</v>
      </c>
      <c r="W53" s="8">
        <f t="shared" si="90"/>
        <v>2029</v>
      </c>
      <c r="X53" s="133">
        <f t="shared" si="90"/>
        <v>2030</v>
      </c>
      <c r="Y53" s="8">
        <f t="shared" si="90"/>
        <v>2031</v>
      </c>
      <c r="Z53" s="8">
        <f t="shared" si="90"/>
        <v>2032</v>
      </c>
      <c r="AA53" s="8">
        <f t="shared" ref="AA53" si="91">+Z53+1</f>
        <v>2033</v>
      </c>
      <c r="AB53" s="8">
        <f t="shared" ref="AB53" si="92">+AA53+1</f>
        <v>2034</v>
      </c>
      <c r="AC53" s="133" t="s">
        <v>34</v>
      </c>
      <c r="AF53" s="71"/>
      <c r="AG53" s="71"/>
      <c r="AH53" s="71"/>
      <c r="AI53" s="71"/>
      <c r="AJ53" s="71"/>
      <c r="AK53" s="71"/>
      <c r="AL53" s="71"/>
      <c r="AM53" s="71"/>
      <c r="AN53" s="71"/>
      <c r="AO53" s="71"/>
      <c r="AP53" s="71"/>
      <c r="AQ53" s="71"/>
      <c r="AR53" s="70"/>
      <c r="AS53" s="70"/>
      <c r="AT53" s="70"/>
      <c r="AU53" s="70"/>
      <c r="AV53" s="70"/>
      <c r="AW53" s="70"/>
      <c r="AX53" s="70"/>
      <c r="AY53" s="70"/>
      <c r="AZ53" s="70"/>
    </row>
    <row r="54" spans="1:65" ht="15.6" customHeight="1" x14ac:dyDescent="0.2">
      <c r="A54" s="230" t="s">
        <v>114</v>
      </c>
      <c r="B54" s="231"/>
      <c r="C54" s="302"/>
      <c r="D54" s="302"/>
      <c r="E54" s="302"/>
      <c r="F54" s="302"/>
      <c r="G54" s="302"/>
      <c r="H54" s="302"/>
      <c r="I54" s="302"/>
      <c r="J54" s="302"/>
      <c r="K54" s="302"/>
      <c r="L54" s="302"/>
      <c r="M54" s="21">
        <f t="shared" si="89"/>
        <v>0</v>
      </c>
      <c r="N54" s="299"/>
      <c r="O54" s="299" t="s">
        <v>113</v>
      </c>
      <c r="P54" s="128"/>
      <c r="Q54" s="156" t="s">
        <v>74</v>
      </c>
      <c r="R54" s="333">
        <f t="shared" ref="R54:R63" si="93">+AC54</f>
        <v>0</v>
      </c>
      <c r="S54" s="331">
        <f t="shared" ref="S54:Z54" si="94">+S30</f>
        <v>0</v>
      </c>
      <c r="T54" s="331">
        <f t="shared" si="94"/>
        <v>0</v>
      </c>
      <c r="U54" s="331">
        <f t="shared" si="94"/>
        <v>0</v>
      </c>
      <c r="V54" s="331">
        <f t="shared" si="94"/>
        <v>0</v>
      </c>
      <c r="W54" s="331">
        <f t="shared" si="94"/>
        <v>0</v>
      </c>
      <c r="X54" s="332">
        <f t="shared" si="94"/>
        <v>0</v>
      </c>
      <c r="Y54" s="309">
        <f t="shared" si="94"/>
        <v>0</v>
      </c>
      <c r="Z54" s="28">
        <f t="shared" si="94"/>
        <v>0</v>
      </c>
      <c r="AA54" s="28">
        <f t="shared" ref="AA54:AB54" si="95">+AA30</f>
        <v>0</v>
      </c>
      <c r="AB54" s="28">
        <f t="shared" si="95"/>
        <v>0</v>
      </c>
      <c r="AC54" s="134">
        <f>SUM(S54:AB54)</f>
        <v>0</v>
      </c>
      <c r="AF54" s="70"/>
      <c r="AG54" s="70"/>
      <c r="AH54" s="70"/>
      <c r="AI54" s="70"/>
      <c r="AJ54" s="70"/>
      <c r="AK54" s="70"/>
      <c r="AL54" s="70"/>
      <c r="AM54" s="70"/>
      <c r="AN54" s="70"/>
      <c r="AO54" s="70"/>
      <c r="AP54" s="70"/>
      <c r="AQ54" s="70"/>
      <c r="AR54" s="70"/>
      <c r="AS54" s="70"/>
      <c r="AT54" s="70"/>
      <c r="AU54" s="70"/>
      <c r="AV54" s="70"/>
      <c r="AW54" s="70"/>
      <c r="AX54" s="70"/>
      <c r="AY54" s="70"/>
      <c r="AZ54" s="70"/>
    </row>
    <row r="55" spans="1:65" ht="15.6" customHeight="1" x14ac:dyDescent="0.2">
      <c r="A55" s="210" t="s">
        <v>114</v>
      </c>
      <c r="B55" s="16"/>
      <c r="C55" s="302"/>
      <c r="D55" s="302"/>
      <c r="E55" s="302"/>
      <c r="F55" s="302"/>
      <c r="G55" s="302"/>
      <c r="H55" s="302"/>
      <c r="I55" s="302"/>
      <c r="J55" s="302"/>
      <c r="K55" s="302"/>
      <c r="L55" s="302"/>
      <c r="M55" s="21">
        <f t="shared" si="89"/>
        <v>0</v>
      </c>
      <c r="N55" s="299"/>
      <c r="O55" s="299" t="s">
        <v>113</v>
      </c>
      <c r="P55" s="128"/>
      <c r="Q55" s="157" t="s">
        <v>75</v>
      </c>
      <c r="R55" s="324">
        <f>+AC55</f>
        <v>0</v>
      </c>
      <c r="S55" s="325">
        <f t="shared" ref="S55:Z55" si="96">+S46</f>
        <v>0</v>
      </c>
      <c r="T55" s="325">
        <f t="shared" si="96"/>
        <v>0</v>
      </c>
      <c r="U55" s="325">
        <f t="shared" si="96"/>
        <v>0</v>
      </c>
      <c r="V55" s="325">
        <f t="shared" si="96"/>
        <v>0</v>
      </c>
      <c r="W55" s="325">
        <f t="shared" si="96"/>
        <v>0</v>
      </c>
      <c r="X55" s="326">
        <f t="shared" si="96"/>
        <v>0</v>
      </c>
      <c r="Y55" s="310">
        <f t="shared" si="96"/>
        <v>0</v>
      </c>
      <c r="Z55" s="122">
        <f t="shared" si="96"/>
        <v>0</v>
      </c>
      <c r="AA55" s="122">
        <f t="shared" ref="AA55:AB55" si="97">+AA46</f>
        <v>0</v>
      </c>
      <c r="AB55" s="122">
        <f t="shared" si="97"/>
        <v>0</v>
      </c>
      <c r="AC55" s="150">
        <f t="shared" ref="AC55:AC63" si="98">SUM(S55:AB55)</f>
        <v>0</v>
      </c>
      <c r="AF55" s="70"/>
      <c r="AG55" s="70"/>
      <c r="AH55" s="70"/>
      <c r="AI55" s="70"/>
      <c r="AJ55" s="70"/>
      <c r="AK55" s="70"/>
      <c r="AL55" s="70"/>
      <c r="AM55" s="70"/>
      <c r="AN55" s="70"/>
      <c r="AO55" s="70"/>
      <c r="AP55" s="70"/>
      <c r="AQ55" s="70"/>
      <c r="AR55" s="70"/>
      <c r="AS55" s="70"/>
      <c r="AT55" s="70"/>
      <c r="AU55" s="70"/>
      <c r="AV55" s="70"/>
      <c r="AW55" s="70"/>
      <c r="AX55" s="70"/>
      <c r="AY55" s="70"/>
      <c r="AZ55" s="70"/>
    </row>
    <row r="56" spans="1:65" ht="15.6" customHeight="1" x14ac:dyDescent="0.2">
      <c r="A56" s="230" t="s">
        <v>114</v>
      </c>
      <c r="B56" s="231"/>
      <c r="C56" s="302"/>
      <c r="D56" s="302"/>
      <c r="E56" s="302"/>
      <c r="F56" s="302"/>
      <c r="G56" s="302"/>
      <c r="H56" s="302"/>
      <c r="I56" s="302"/>
      <c r="J56" s="302"/>
      <c r="K56" s="302"/>
      <c r="L56" s="302"/>
      <c r="M56" s="21">
        <f t="shared" si="89"/>
        <v>0</v>
      </c>
      <c r="N56" s="299"/>
      <c r="O56" s="299" t="s">
        <v>113</v>
      </c>
      <c r="P56" s="128"/>
      <c r="Q56" s="158" t="s">
        <v>76</v>
      </c>
      <c r="R56" s="327">
        <f t="shared" si="93"/>
        <v>0</v>
      </c>
      <c r="S56" s="328">
        <f>+SUM(S54:S55)</f>
        <v>0</v>
      </c>
      <c r="T56" s="328">
        <f t="shared" ref="T56:Z56" si="99">+SUM(T54:T55)</f>
        <v>0</v>
      </c>
      <c r="U56" s="328">
        <f t="shared" si="99"/>
        <v>0</v>
      </c>
      <c r="V56" s="328">
        <f t="shared" si="99"/>
        <v>0</v>
      </c>
      <c r="W56" s="328">
        <f t="shared" si="99"/>
        <v>0</v>
      </c>
      <c r="X56" s="329">
        <f t="shared" si="99"/>
        <v>0</v>
      </c>
      <c r="Y56" s="311">
        <f t="shared" si="99"/>
        <v>0</v>
      </c>
      <c r="Z56" s="146">
        <f t="shared" si="99"/>
        <v>0</v>
      </c>
      <c r="AA56" s="146">
        <f t="shared" ref="AA56:AB56" si="100">+SUM(AA54:AA55)</f>
        <v>0</v>
      </c>
      <c r="AB56" s="146">
        <f t="shared" si="100"/>
        <v>0</v>
      </c>
      <c r="AC56" s="147">
        <f t="shared" si="98"/>
        <v>0</v>
      </c>
      <c r="AF56" s="70"/>
      <c r="AG56" s="70"/>
      <c r="AH56" s="70"/>
      <c r="AI56" s="70"/>
      <c r="AJ56" s="70"/>
      <c r="AK56" s="70"/>
      <c r="AL56" s="70"/>
      <c r="AM56" s="70"/>
      <c r="AN56" s="70"/>
      <c r="AO56" s="70"/>
      <c r="AP56" s="70"/>
      <c r="AQ56" s="70"/>
      <c r="AR56" s="70"/>
      <c r="AS56" s="70"/>
      <c r="AT56" s="70"/>
      <c r="AU56" s="70"/>
      <c r="AV56" s="70"/>
      <c r="AW56" s="70"/>
      <c r="AX56" s="70"/>
      <c r="AY56" s="70"/>
      <c r="AZ56" s="70"/>
    </row>
    <row r="57" spans="1:65" ht="15.6" customHeight="1" x14ac:dyDescent="0.2">
      <c r="A57" s="210" t="s">
        <v>114</v>
      </c>
      <c r="B57" s="16"/>
      <c r="C57" s="302"/>
      <c r="D57" s="302"/>
      <c r="E57" s="302"/>
      <c r="F57" s="302"/>
      <c r="G57" s="302"/>
      <c r="H57" s="302"/>
      <c r="I57" s="302"/>
      <c r="J57" s="302"/>
      <c r="K57" s="302"/>
      <c r="L57" s="302"/>
      <c r="M57" s="21">
        <f t="shared" si="89"/>
        <v>0</v>
      </c>
      <c r="N57" s="299"/>
      <c r="O57" s="299" t="s">
        <v>113</v>
      </c>
      <c r="P57" s="128"/>
      <c r="Q57" s="158" t="s">
        <v>77</v>
      </c>
      <c r="R57" s="327">
        <f t="shared" si="93"/>
        <v>0</v>
      </c>
      <c r="S57" s="328">
        <f>+C65</f>
        <v>0</v>
      </c>
      <c r="T57" s="328">
        <f t="shared" ref="T57:AB57" si="101">+D65</f>
        <v>0</v>
      </c>
      <c r="U57" s="328">
        <f t="shared" si="101"/>
        <v>0</v>
      </c>
      <c r="V57" s="328">
        <f t="shared" si="101"/>
        <v>0</v>
      </c>
      <c r="W57" s="328">
        <f t="shared" si="101"/>
        <v>0</v>
      </c>
      <c r="X57" s="329">
        <f t="shared" si="101"/>
        <v>0</v>
      </c>
      <c r="Y57" s="311">
        <f t="shared" si="101"/>
        <v>0</v>
      </c>
      <c r="Z57" s="146">
        <f t="shared" si="101"/>
        <v>0</v>
      </c>
      <c r="AA57" s="146">
        <f t="shared" si="101"/>
        <v>0</v>
      </c>
      <c r="AB57" s="146">
        <f t="shared" si="101"/>
        <v>0</v>
      </c>
      <c r="AC57" s="147">
        <f t="shared" si="98"/>
        <v>0</v>
      </c>
      <c r="AF57" s="70"/>
      <c r="AG57" s="70"/>
      <c r="AH57" s="70"/>
      <c r="AI57" s="70"/>
      <c r="AJ57" s="70"/>
      <c r="AK57" s="70"/>
      <c r="AL57" s="70"/>
      <c r="AM57" s="70"/>
      <c r="AN57" s="70"/>
      <c r="AO57" s="70"/>
      <c r="AP57" s="70"/>
      <c r="AQ57" s="70"/>
      <c r="AR57" s="70"/>
      <c r="AS57" s="70"/>
      <c r="AT57" s="70"/>
      <c r="AU57" s="70"/>
      <c r="AV57" s="70"/>
      <c r="AW57" s="70"/>
      <c r="AX57" s="70"/>
      <c r="AY57" s="70"/>
      <c r="AZ57" s="70"/>
    </row>
    <row r="58" spans="1:65" ht="15.6" customHeight="1" x14ac:dyDescent="0.2">
      <c r="A58" s="230" t="s">
        <v>114</v>
      </c>
      <c r="B58" s="231"/>
      <c r="C58" s="302"/>
      <c r="D58" s="302"/>
      <c r="E58" s="302"/>
      <c r="F58" s="302"/>
      <c r="G58" s="302"/>
      <c r="H58" s="302"/>
      <c r="I58" s="302"/>
      <c r="J58" s="302"/>
      <c r="K58" s="302"/>
      <c r="L58" s="302"/>
      <c r="M58" s="21">
        <f t="shared" si="89"/>
        <v>0</v>
      </c>
      <c r="N58" s="299"/>
      <c r="O58" s="299" t="s">
        <v>113</v>
      </c>
      <c r="P58" s="128"/>
      <c r="Q58" s="158" t="s">
        <v>78</v>
      </c>
      <c r="R58" s="327">
        <f t="shared" si="93"/>
        <v>0</v>
      </c>
      <c r="S58" s="328">
        <f>+S57+S56</f>
        <v>0</v>
      </c>
      <c r="T58" s="328">
        <f t="shared" ref="T58:Z58" si="102">+T57+T56</f>
        <v>0</v>
      </c>
      <c r="U58" s="328">
        <f t="shared" si="102"/>
        <v>0</v>
      </c>
      <c r="V58" s="328">
        <f t="shared" si="102"/>
        <v>0</v>
      </c>
      <c r="W58" s="328">
        <f t="shared" si="102"/>
        <v>0</v>
      </c>
      <c r="X58" s="329">
        <f t="shared" si="102"/>
        <v>0</v>
      </c>
      <c r="Y58" s="311">
        <f t="shared" si="102"/>
        <v>0</v>
      </c>
      <c r="Z58" s="146">
        <f t="shared" si="102"/>
        <v>0</v>
      </c>
      <c r="AA58" s="146">
        <f t="shared" ref="AA58:AB58" si="103">+AA57+AA56</f>
        <v>0</v>
      </c>
      <c r="AB58" s="146">
        <f t="shared" si="103"/>
        <v>0</v>
      </c>
      <c r="AC58" s="147">
        <f t="shared" si="98"/>
        <v>0</v>
      </c>
      <c r="AF58" s="70"/>
      <c r="AG58" s="70"/>
      <c r="AH58" s="70"/>
      <c r="AI58" s="70"/>
      <c r="AJ58" s="70"/>
      <c r="AK58" s="70"/>
      <c r="AL58" s="70"/>
      <c r="AM58" s="70"/>
      <c r="AN58" s="70"/>
      <c r="AO58" s="70"/>
      <c r="AP58" s="70"/>
      <c r="AQ58" s="70"/>
      <c r="AR58" s="70"/>
      <c r="AS58" s="70"/>
      <c r="AT58" s="70"/>
      <c r="AU58" s="70"/>
      <c r="AV58" s="70"/>
      <c r="AW58" s="70"/>
      <c r="AX58" s="70"/>
      <c r="AY58" s="70"/>
      <c r="AZ58" s="70"/>
    </row>
    <row r="59" spans="1:65" ht="15.6" customHeight="1" x14ac:dyDescent="0.2">
      <c r="A59" s="210" t="s">
        <v>114</v>
      </c>
      <c r="B59" s="16"/>
      <c r="C59" s="302"/>
      <c r="D59" s="302"/>
      <c r="E59" s="302"/>
      <c r="F59" s="302"/>
      <c r="G59" s="302"/>
      <c r="H59" s="302"/>
      <c r="I59" s="302"/>
      <c r="J59" s="302"/>
      <c r="K59" s="302"/>
      <c r="L59" s="302"/>
      <c r="M59" s="21">
        <f t="shared" si="89"/>
        <v>0</v>
      </c>
      <c r="N59" s="299"/>
      <c r="O59" s="299" t="s">
        <v>113</v>
      </c>
      <c r="P59" s="128"/>
      <c r="Q59" s="159" t="s">
        <v>0</v>
      </c>
      <c r="R59" s="327">
        <f t="shared" si="93"/>
        <v>0</v>
      </c>
      <c r="S59" s="162">
        <f>IF(C12=2,S56*C6/100,IF($G$6=Lister!$D$4,(S56*$C$6)/100,IF($G$6=Lister!$D$5,(S58*$C$6)/100,IF($G$6=Lister!$D$6,((S58-SUMIF($A$52:$A$62,Lister!$M$10,C52:C62))*$C$6)/100,IF($G$6=Lister!$D$7,(S57*$C$6)/100,0)))))</f>
        <v>0</v>
      </c>
      <c r="T59" s="162">
        <f>IF(D12=2,T56*D6/100,IF($G$6=Lister!$D$4,(T56*$C$6)/100,IF($G$6=Lister!$D$5,(T58*$C$6)/100,IF($G$6=Lister!$D$6,((T58-SUMIF($A$52:$A$62,Lister!$M$10,D52:D62))*$C$6)/100,IF($G$6=Lister!$D$7,(T57*$C$6)/100,0)))))</f>
        <v>0</v>
      </c>
      <c r="U59" s="162">
        <f>IF(E12=2,U56*E6/100,IF($G$6=Lister!$D$4,(U56*$C$6)/100,IF($G$6=Lister!$D$5,(U58*$C$6)/100,IF($G$6=Lister!$D$6,((U58-SUMIF($A$52:$A$62,Lister!$M$10,E52:E62))*$C$6)/100,IF($G$6=Lister!$D$7,(U57*$C$6)/100,0)))))</f>
        <v>0</v>
      </c>
      <c r="V59" s="162">
        <f>IF(F12=2,V56*F6/100,IF($G$6=Lister!$D$4,(V56*$C$6)/100,IF($G$6=Lister!$D$5,(V58*$C$6)/100,IF($G$6=Lister!$D$6,((V58-SUMIF($A$52:$A$62,Lister!$M$10,F52:F62))*$C$6)/100,IF($G$6=Lister!$D$7,(V57*$C$6)/100,0)))))</f>
        <v>0</v>
      </c>
      <c r="W59" s="162">
        <f>IF(G12=2,W56*G6/100,IF($G$6=Lister!$D$4,(W56*$C$6)/100,IF($G$6=Lister!$D$5,(W58*$C$6)/100,IF($G$6=Lister!$D$6,((W58-SUMIF($A$52:$A$62,Lister!$M$10,G52:G62))*$C$6)/100,IF($G$6=Lister!$D$7,(W57*$C$6)/100,0)))))</f>
        <v>0</v>
      </c>
      <c r="X59" s="315">
        <f>IF(H12=2,X56*H6/100,IF($G$6=Lister!$D$4,(X56*$C$6)/100,IF($G$6=Lister!$D$5,(X58*$C$6)/100,IF($G$6=Lister!$D$6,((X58-SUMIF($A$52:$A$62,Lister!$M$10,H52:H62))*$C$6)/100,IF($G$6=Lister!$D$7,(X57*$C$6)/100,0)))))</f>
        <v>0</v>
      </c>
      <c r="Y59" s="312">
        <f>IF(I12=2,Y56*I6/100,IF($G$6=Lister!$D$4,(Y56*$C$6)/100,IF($G$6=Lister!$D$5,(Y58*$C$6)/100,IF($G$6=Lister!$D$6,((Y58-SUMIF($A$52:$A$62,Lister!$M$10,I52:I62))*$C$6)/100,IF($G$6=Lister!$D$7,(Y57*$C$6)/100,0)))))</f>
        <v>0</v>
      </c>
      <c r="Z59" s="21">
        <f>IF(J12=2,Z56*J6/100,IF($G$6=Lister!$D$4,(Z56*$C$6)/100,IF($G$6=Lister!$D$5,(Z58*$C$6)/100,IF($G$6=Lister!$D$6,((Z58-SUMIF($A$52:$A$62,Lister!$M$10,J52:J62))*$C$6)/100,IF($G$6=Lister!$D$7,(Z57*$C$6)/100,0)))))</f>
        <v>0</v>
      </c>
      <c r="AA59" s="21">
        <f>IF(K12=2,AA56*K6/100,IF($G$6=Lister!$D$4,(AA56*$C$6)/100,IF($G$6=Lister!$D$5,(AA58*$C$6)/100,IF($G$6=Lister!$D$6,((AA58-SUMIF($A$52:$A$62,Lister!$M$10,K52:K62))*$C$6)/100,IF($G$6=Lister!$D$7,(AA57*$C$6)/100,0)))))</f>
        <v>0</v>
      </c>
      <c r="AB59" s="21">
        <f>IF(L12=2,AB56*L6/100,IF($G$6=Lister!$D$4,(AB56*$C$6)/100,IF($G$6=Lister!$D$5,(AB58*$C$6)/100,IF($G$6=Lister!$D$6,((AB58-SUMIF($A$52:$A$62,Lister!$M$10,L52:L62))*$C$6)/100,IF($G$6=Lister!$D$7,(AB57*$C$6)/100,0)))))</f>
        <v>0</v>
      </c>
      <c r="AC59" s="147">
        <f t="shared" si="98"/>
        <v>0</v>
      </c>
      <c r="AF59" s="70"/>
      <c r="AG59" s="70"/>
      <c r="AH59" s="70"/>
      <c r="AI59" s="70"/>
      <c r="AJ59" s="70"/>
      <c r="AK59" s="70"/>
      <c r="AL59" s="70"/>
      <c r="AM59" s="70"/>
      <c r="AN59" s="70"/>
      <c r="AO59" s="70"/>
      <c r="AP59" s="70"/>
      <c r="AQ59" s="70"/>
      <c r="AR59" s="70"/>
      <c r="AS59" s="70"/>
      <c r="AT59" s="70"/>
      <c r="AU59" s="70"/>
      <c r="AV59" s="70"/>
      <c r="AW59" s="70"/>
      <c r="AX59" s="70"/>
      <c r="AY59" s="70"/>
      <c r="AZ59" s="70"/>
    </row>
    <row r="60" spans="1:65" ht="15.6" customHeight="1" x14ac:dyDescent="0.2">
      <c r="A60" s="230" t="s">
        <v>114</v>
      </c>
      <c r="B60" s="231"/>
      <c r="C60" s="302"/>
      <c r="D60" s="302"/>
      <c r="E60" s="302"/>
      <c r="F60" s="302"/>
      <c r="G60" s="302"/>
      <c r="H60" s="302"/>
      <c r="I60" s="302"/>
      <c r="J60" s="302"/>
      <c r="K60" s="302"/>
      <c r="L60" s="302"/>
      <c r="M60" s="21">
        <f t="shared" si="89"/>
        <v>0</v>
      </c>
      <c r="N60" s="299"/>
      <c r="O60" s="299" t="s">
        <v>113</v>
      </c>
      <c r="P60" s="128"/>
      <c r="Q60" s="160" t="s">
        <v>103</v>
      </c>
      <c r="R60" s="327">
        <f t="shared" si="93"/>
        <v>0</v>
      </c>
      <c r="S60" s="162">
        <f>+IF($C$8=Lister!$O$5,C$30*Takstblad!C$81,0)</f>
        <v>0</v>
      </c>
      <c r="T60" s="162">
        <f>+IF($C$8=Lister!$O$5,D$30*Takstblad!D$81,0)</f>
        <v>0</v>
      </c>
      <c r="U60" s="162">
        <f>+IF($C$8=Lister!$O$5,E$30*Takstblad!E$81,0)</f>
        <v>0</v>
      </c>
      <c r="V60" s="162">
        <f>+IF($C$8=Lister!$O$5,F$30*Takstblad!F$81,0)</f>
        <v>0</v>
      </c>
      <c r="W60" s="162">
        <f>+IF($C$8=Lister!$O$5,G$30*Takstblad!G$81,0)</f>
        <v>0</v>
      </c>
      <c r="X60" s="315">
        <f>+IF($C$8=Lister!$O$5,H$30*Takstblad!H$81,0)</f>
        <v>0</v>
      </c>
      <c r="Y60" s="312">
        <f>+IF($C$8=Lister!$O$5,I$30*Takstblad!I$81,0)</f>
        <v>0</v>
      </c>
      <c r="Z60" s="21">
        <f>+IF($C$8=Lister!$O$5,J$30*Takstblad!J$81,0)</f>
        <v>0</v>
      </c>
      <c r="AA60" s="21">
        <f>+IF($C$8=Lister!$O$5,K$30*Takstblad!K$81,0)</f>
        <v>0</v>
      </c>
      <c r="AB60" s="21">
        <f>+IF($C$8=Lister!$O$5,L$30*Takstblad!L$81,0)</f>
        <v>0</v>
      </c>
      <c r="AC60" s="147">
        <f t="shared" si="98"/>
        <v>0</v>
      </c>
      <c r="AF60" s="70"/>
      <c r="AG60" s="70"/>
      <c r="AH60" s="70"/>
      <c r="AI60" s="70"/>
      <c r="AJ60" s="70"/>
      <c r="AK60" s="70"/>
      <c r="AL60" s="70"/>
      <c r="AM60" s="70"/>
      <c r="AN60" s="70"/>
      <c r="AO60" s="70"/>
      <c r="AP60" s="70"/>
      <c r="AQ60" s="70"/>
      <c r="AR60" s="70"/>
      <c r="AS60" s="70"/>
      <c r="AT60" s="70"/>
      <c r="AU60" s="70"/>
      <c r="AV60" s="70"/>
      <c r="AW60" s="70"/>
      <c r="AX60" s="70"/>
      <c r="AY60" s="70"/>
      <c r="AZ60" s="70"/>
    </row>
    <row r="61" spans="1:65" ht="17.45" customHeight="1" x14ac:dyDescent="0.2">
      <c r="A61" s="210" t="s">
        <v>114</v>
      </c>
      <c r="B61" s="16"/>
      <c r="C61" s="302"/>
      <c r="D61" s="302"/>
      <c r="E61" s="302"/>
      <c r="F61" s="302"/>
      <c r="G61" s="302"/>
      <c r="H61" s="302"/>
      <c r="I61" s="302"/>
      <c r="J61" s="302"/>
      <c r="K61" s="302"/>
      <c r="L61" s="302"/>
      <c r="M61" s="21">
        <f t="shared" si="89"/>
        <v>0</v>
      </c>
      <c r="N61" s="299"/>
      <c r="O61" s="299" t="s">
        <v>113</v>
      </c>
      <c r="P61" s="128"/>
      <c r="Q61" s="160" t="s">
        <v>108</v>
      </c>
      <c r="R61" s="327">
        <f t="shared" si="93"/>
        <v>0</v>
      </c>
      <c r="S61" s="162">
        <f>+S77+S91</f>
        <v>0</v>
      </c>
      <c r="T61" s="162">
        <f>+IF($C$8="Project-Supplement",((SUMIF($A$20:$A$29,"PhD",D$20:D$29)+SUMIF($A$20:$A$29,"Research Assistant - avr. rate",D$20:D$29)+SUMIF($A$20:$A$29,"Research Assistant - low rate",D$20:D$29)+SUMIF($A$20:$A$29,"Post doc.",D$20:D$29))/12)*Takstblad!D$82,0)</f>
        <v>0</v>
      </c>
      <c r="U61" s="162">
        <f>+IF($C$8="Project-Supplement",((SUMIF($A$20:$A$29,"PhD",E$20:E$29)+SUMIF($A$20:$A$29,"Research Assistant - avr. rate",E$20:E$29)+SUMIF($A$20:$A$29,"Research Assistant - low rate",E$20:E$29)+SUMIF($A$20:$A$29,"Post doc.",E$20:E$29))/12)*Takstblad!E$82,0)</f>
        <v>0</v>
      </c>
      <c r="V61" s="162">
        <f>+IF($C$8="Project-Supplement",((SUMIF($A$20:$A$29,"PhD",F$20:F$29)+SUMIF($A$20:$A$29,"Research Assistant - avr. rate",F$20:F$29)+SUMIF($A$20:$A$29,"Research Assistant - low rate",F$20:F$29)+SUMIF($A$20:$A$29,"Post doc.",F$20:F$29))/12)*Takstblad!F$82,0)</f>
        <v>0</v>
      </c>
      <c r="W61" s="162">
        <f>+IF($C$8="Project-Supplement",((SUMIF($A$20:$A$29,"PhD",G$20:G$29)+SUMIF($A$20:$A$29,"Research Assistant - avr. rate",G$20:G$29)+SUMIF($A$20:$A$29,"Research Assistant - low rate",G$20:G$29)+SUMIF($A$20:$A$29,"Post doc.",G$20:G$29))/12)*Takstblad!G$82,0)</f>
        <v>0</v>
      </c>
      <c r="X61" s="315">
        <f>+IF($C$8="Project-Supplement",((SUMIF($A$20:$A$29,"PhD",H$20:H$29)+SUMIF($A$20:$A$29,"Research Assistant - avr. rate",H$20:H$29)+SUMIF($A$20:$A$29,"Research Assistant - low rate",H$20:H$29)+SUMIF($A$20:$A$29,"Post doc.",H$20:H$29))/12)*Takstblad!H$82,0)</f>
        <v>0</v>
      </c>
      <c r="Y61" s="312">
        <f>+IF($C$8="Project-Supplement",((SUMIF($A$20:$A$29,"PhD",I$20:I$29)+SUMIF($A$20:$A$29,"Research Assistant - avr. rate",I$20:I$29)+SUMIF($A$20:$A$29,"Research Assistant - low rate",I$20:I$29)+SUMIF($A$20:$A$29,"Post doc.",I$20:I$29))/12)*Takstblad!I$82,0)</f>
        <v>0</v>
      </c>
      <c r="Z61" s="21">
        <f>+IF($C$8="Project-Supplement",((SUMIF($A$20:$A$29,"PhD",J$20:J$29)+SUMIF($A$20:$A$29,"Research Assistant - avr. rate",J$20:J$29)+SUMIF($A$20:$A$29,"Research Assistant - low rate",J$20:J$29)+SUMIF($A$20:$A$29,"Post doc.",J$20:J$29))/12)*Takstblad!J$82,0)</f>
        <v>0</v>
      </c>
      <c r="AA61" s="21">
        <f>+IF($C$8="Project-Supplement",((SUMIF($A$20:$A$29,"PhD",K$20:K$29)+SUMIF($A$20:$A$29,"Research Assistant - avr. rate",K$20:K$29)+SUMIF($A$20:$A$29,"Research Assistant - low rate",K$20:K$29)+SUMIF($A$20:$A$29,"Post doc.",K$20:K$29))/12)*Takstblad!K$82,0)</f>
        <v>0</v>
      </c>
      <c r="AB61" s="21">
        <f>+IF($C$8="Project-Supplement",((SUMIF($A$20:$A$29,"PhD",L$20:L$29)+SUMIF($A$20:$A$29,"Research Assistant - avr. rate",L$20:L$29)+SUMIF($A$20:$A$29,"Research Assistant - low rate",L$20:L$29)+SUMIF($A$20:$A$29,"Post doc.",L$20:L$29))/12)*Takstblad!L$82,0)</f>
        <v>0</v>
      </c>
      <c r="AC61" s="147">
        <f t="shared" si="98"/>
        <v>0</v>
      </c>
      <c r="AF61" s="70"/>
      <c r="AG61" s="70"/>
      <c r="AH61" s="70"/>
      <c r="AI61" s="70"/>
      <c r="AJ61" s="70"/>
      <c r="AK61" s="70"/>
      <c r="AL61" s="70"/>
      <c r="AM61" s="70"/>
      <c r="AN61" s="70"/>
      <c r="AO61" s="70"/>
      <c r="AP61" s="70"/>
      <c r="AQ61" s="70"/>
      <c r="AR61" s="70"/>
      <c r="AS61" s="70"/>
      <c r="AT61" s="70"/>
      <c r="AU61" s="70"/>
      <c r="AV61" s="70"/>
      <c r="AW61" s="70"/>
      <c r="AX61" s="70"/>
      <c r="AY61" s="70"/>
      <c r="AZ61" s="70"/>
    </row>
    <row r="62" spans="1:65" s="11" customFormat="1" ht="15.6" customHeight="1" x14ac:dyDescent="0.2">
      <c r="A62" s="230" t="s">
        <v>114</v>
      </c>
      <c r="B62" s="231"/>
      <c r="C62" s="302"/>
      <c r="D62" s="302"/>
      <c r="E62" s="302"/>
      <c r="F62" s="302"/>
      <c r="G62" s="302"/>
      <c r="H62" s="302"/>
      <c r="I62" s="302"/>
      <c r="J62" s="302"/>
      <c r="K62" s="302"/>
      <c r="L62" s="302"/>
      <c r="M62" s="21">
        <f t="shared" si="89"/>
        <v>0</v>
      </c>
      <c r="N62" s="299"/>
      <c r="O62" s="299" t="s">
        <v>113</v>
      </c>
      <c r="P62" s="128"/>
      <c r="Q62" s="159" t="s">
        <v>545</v>
      </c>
      <c r="R62" s="327">
        <f t="shared" si="93"/>
        <v>0</v>
      </c>
      <c r="S62" s="162" t="str">
        <f>IF($C$12=2,(SUM(S58:S61)*$C$13)/100,"0")</f>
        <v>0</v>
      </c>
      <c r="T62" s="162" t="str">
        <f t="shared" ref="T62:Z62" si="104">IF($C$12=2,(SUM(T58:T61)*$C$13)/100,"0")</f>
        <v>0</v>
      </c>
      <c r="U62" s="162" t="str">
        <f t="shared" si="104"/>
        <v>0</v>
      </c>
      <c r="V62" s="162" t="str">
        <f t="shared" si="104"/>
        <v>0</v>
      </c>
      <c r="W62" s="162" t="str">
        <f t="shared" si="104"/>
        <v>0</v>
      </c>
      <c r="X62" s="315" t="str">
        <f t="shared" si="104"/>
        <v>0</v>
      </c>
      <c r="Y62" s="313" t="str">
        <f t="shared" si="104"/>
        <v>0</v>
      </c>
      <c r="Z62" s="162" t="str">
        <f t="shared" si="104"/>
        <v>0</v>
      </c>
      <c r="AA62" s="162" t="str">
        <f t="shared" ref="AA62:AB62" si="105">IF($C$12=2,(SUM(AA58:AA61)*$C$13)/100,"0")</f>
        <v>0</v>
      </c>
      <c r="AB62" s="162" t="str">
        <f t="shared" si="105"/>
        <v>0</v>
      </c>
      <c r="AC62" s="147">
        <f t="shared" si="98"/>
        <v>0</v>
      </c>
      <c r="AF62" s="70"/>
      <c r="AG62" s="70"/>
      <c r="AH62" s="70"/>
      <c r="AI62" s="70"/>
      <c r="AJ62" s="70"/>
      <c r="AK62" s="70"/>
      <c r="AL62" s="70"/>
      <c r="AM62" s="70"/>
      <c r="AN62" s="70"/>
      <c r="AO62" s="70"/>
      <c r="AP62" s="70"/>
      <c r="AQ62" s="70"/>
      <c r="AR62" s="78"/>
      <c r="AS62" s="78"/>
      <c r="AT62" s="78"/>
      <c r="AU62" s="78"/>
      <c r="AV62" s="78"/>
      <c r="AW62" s="78"/>
      <c r="AX62" s="78"/>
      <c r="AY62" s="78"/>
      <c r="AZ62" s="78"/>
    </row>
    <row r="63" spans="1:65" s="11" customFormat="1" ht="15.6" customHeight="1" x14ac:dyDescent="0.2">
      <c r="A63" s="5" t="s">
        <v>234</v>
      </c>
      <c r="B63" s="16"/>
      <c r="C63" s="28">
        <f>IFERROR(IF($C$12=2,0,IF($C$8="project-supplement",0,IF(OR($G$7="Salary and Operations",$G$7="Operations"),(VLOOKUP($C$2,Takstblad!$B$68:$L$80,2,FALSE)*C$67)))),0)</f>
        <v>0</v>
      </c>
      <c r="D63" s="28">
        <f>IFERROR(IF($C$12=2,0,IF($C$8="project-supplement",0,IF(OR($G$7="Salary and Operations",$G$7="Operations"),(VLOOKUP($C$2,Takstblad!$B$68:$L$80,3,FALSE)*D$67)))),0)</f>
        <v>0</v>
      </c>
      <c r="E63" s="28">
        <f>IFERROR(IF($C$12=2,0,IF($C$8="project-supplement",0,IF(OR($G$7="Salary and Operations",$G$7="Operations"),(VLOOKUP($C$2,Takstblad!$B$68:$L$80,4,FALSE)*E$67)))),0)</f>
        <v>0</v>
      </c>
      <c r="F63" s="28">
        <f>IFERROR(IF($C$12=2,0,IF($C$8="project-supplement",0,IF(OR($G$7="Salary and Operations",$G$7="Operations"),(VLOOKUP($C$2,Takstblad!$B$68:$L$80,5,FALSE)*F$67)))),0)</f>
        <v>0</v>
      </c>
      <c r="G63" s="28">
        <f>IFERROR(IF($C$12=2,0,IF($C$8="project-supplement",0,IF(OR($G$7="Salary and Operations",$G$7="Operations"),(VLOOKUP($C$2,Takstblad!$B$68:$L$80,6,FALSE)*G$67)))),0)</f>
        <v>0</v>
      </c>
      <c r="H63" s="28">
        <f>IFERROR(IF($C$12=2,0,IF($C$8="project-supplement",0,IF(OR($G$7="Salary and Operations",$G$7="Operations"),(VLOOKUP($C$2,Takstblad!$B$68:$L$80,7,FALSE)*H$67)))),0)</f>
        <v>0</v>
      </c>
      <c r="I63" s="28">
        <f>IFERROR(IF($C$12=2,0,IF($C$8="project-supplement",0,IF(OR($G$7="Salary and Operations",$G$7="Operations"),(VLOOKUP($C$2,Takstblad!$B$68:$L$80,8,FALSE)*I$67)))),0)</f>
        <v>0</v>
      </c>
      <c r="J63" s="28">
        <f>IFERROR(IF($C$12=2,0,IF($C$8="project-supplement",0,IF(OR($G$7="Salary and Operations",$G$7="Operations"),(VLOOKUP($C$2,Takstblad!$B$68:$L$80,9,FALSE)*J$67)))),0)</f>
        <v>0</v>
      </c>
      <c r="K63" s="28">
        <f>IFERROR(IF($C$12=2,0,IF($C$8="project-supplement",0,IF(OR($G$7="Salary and Operations",$G$7="Operations"),(VLOOKUP($C$2,Takstblad!$B$68:$L$80,10,FALSE)*K$67)))),0)</f>
        <v>0</v>
      </c>
      <c r="L63" s="28">
        <f>IFERROR(IF($C$12=2,0,IF($C$8="project-supplement",0,IF(OR($G$7="Salary and Operations",$G$7="Operations"),(VLOOKUP($C$2,Takstblad!$B$68:$L$80,11,FALSE)*L$67)))),0)</f>
        <v>0</v>
      </c>
      <c r="M63" s="21">
        <f t="shared" si="89"/>
        <v>0</v>
      </c>
      <c r="N63" s="21"/>
      <c r="O63" s="236" t="s">
        <v>152</v>
      </c>
      <c r="P63" s="127"/>
      <c r="Q63" s="158" t="s">
        <v>101</v>
      </c>
      <c r="R63" s="327">
        <f t="shared" si="93"/>
        <v>0</v>
      </c>
      <c r="S63" s="328">
        <f>+SUM(S58:S62)</f>
        <v>0</v>
      </c>
      <c r="T63" s="328">
        <f t="shared" ref="T63:Z63" si="106">+SUM(T58:T62)</f>
        <v>0</v>
      </c>
      <c r="U63" s="328">
        <f t="shared" si="106"/>
        <v>0</v>
      </c>
      <c r="V63" s="328">
        <f t="shared" si="106"/>
        <v>0</v>
      </c>
      <c r="W63" s="328">
        <f t="shared" si="106"/>
        <v>0</v>
      </c>
      <c r="X63" s="329">
        <f t="shared" si="106"/>
        <v>0</v>
      </c>
      <c r="Y63" s="311">
        <f t="shared" si="106"/>
        <v>0</v>
      </c>
      <c r="Z63" s="146">
        <f t="shared" si="106"/>
        <v>0</v>
      </c>
      <c r="AA63" s="146">
        <f t="shared" ref="AA63:AB63" si="107">+SUM(AA58:AA62)</f>
        <v>0</v>
      </c>
      <c r="AB63" s="146">
        <f t="shared" si="107"/>
        <v>0</v>
      </c>
      <c r="AC63" s="147">
        <f t="shared" si="98"/>
        <v>0</v>
      </c>
      <c r="AF63" s="70"/>
      <c r="AG63" s="70"/>
      <c r="AH63" s="70"/>
      <c r="AI63" s="70"/>
      <c r="AJ63" s="70"/>
      <c r="AK63" s="70"/>
      <c r="AL63" s="70"/>
      <c r="AM63" s="70"/>
      <c r="AN63" s="70"/>
      <c r="AO63" s="70"/>
      <c r="AP63" s="70"/>
      <c r="AQ63" s="70"/>
      <c r="AR63" s="78"/>
      <c r="AS63" s="78"/>
      <c r="AT63" s="78"/>
      <c r="AU63" s="78"/>
      <c r="AV63" s="78"/>
      <c r="AW63" s="78"/>
      <c r="AX63" s="78"/>
      <c r="AY63" s="78"/>
      <c r="AZ63" s="78"/>
    </row>
    <row r="64" spans="1:65" ht="15" customHeight="1" thickBot="1" x14ac:dyDescent="0.25">
      <c r="A64" s="5" t="s">
        <v>764</v>
      </c>
      <c r="B64" s="16"/>
      <c r="C64" s="28">
        <f>IFERROR(IF($C$12=2,0,IF($C$8="project-supplement",0,IF(OR($G$7="Salary and Operations",$G$7="Operations"),(VLOOKUP($C$2,Takstblad!$B$68:$L$80,2,FALSE)*C$68)))),0)</f>
        <v>0</v>
      </c>
      <c r="D64" s="28">
        <f>IFERROR(IF($C$12=2,0,IF($C$8="project-supplement",0,IF(OR($G$7="Salary and Operations",$G$7="Operations"),(VLOOKUP($C$2,Takstblad!$B$68:$L$80,3,FALSE)*D$68)))),0)</f>
        <v>0</v>
      </c>
      <c r="E64" s="28">
        <f>IFERROR(IF($C$12=2,0,IF($C$8="project-supplement",0,IF(OR($G$7="Salary and Operations",$G$7="Operations"),(VLOOKUP($C$2,Takstblad!$B$68:$L$80,4,FALSE)*E$68)))),0)</f>
        <v>0</v>
      </c>
      <c r="F64" s="28">
        <f>IFERROR(IF($C$12=2,0,IF($C$8="project-supplement",0,IF(OR($G$7="Salary and Operations",$G$7="Operations"),(VLOOKUP($C$2,Takstblad!$B$68:$L$80,5,FALSE)*F$68)))),0)</f>
        <v>0</v>
      </c>
      <c r="G64" s="28">
        <f>IFERROR(IF($C$12=2,0,IF($C$8="project-supplement",0,IF(OR($G$7="Salary and Operations",$G$7="Operations"),(VLOOKUP($C$2,Takstblad!$B$68:$L$80,6,FALSE)*G$68)))),0)</f>
        <v>0</v>
      </c>
      <c r="H64" s="28">
        <f>IFERROR(IF($C$12=2,0,IF($C$8="project-supplement",0,IF(OR($G$7="Salary and Operations",$G$7="Operations"),(VLOOKUP($C$2,Takstblad!$B$68:$L$80,7,FALSE)*H$68)))),0)</f>
        <v>0</v>
      </c>
      <c r="I64" s="28">
        <f>IFERROR(IF($C$12=2,0,IF($C$8="project-supplement",0,IF(OR($G$7="Salary and Operations",$G$7="Operations"),(VLOOKUP($C$2,Takstblad!$B$68:$L$80,8,FALSE)*I$68)))),0)</f>
        <v>0</v>
      </c>
      <c r="J64" s="28">
        <f>IFERROR(IF($C$12=2,0,IF($C$8="project-supplement",0,IF(OR($G$7="Salary and Operations",$G$7="Operations"),(VLOOKUP($C$2,Takstblad!$B$68:$L$80,9,FALSE)*J$68)))),0)</f>
        <v>0</v>
      </c>
      <c r="K64" s="28">
        <f>IFERROR(IF($C$12=2,0,IF($C$8="project-supplement",0,IF(OR($G$7="Salary and Operations",$G$7="Operations"),(VLOOKUP($C$2,Takstblad!$B$68:$L$80,10,FALSE)*K$68)))),0)</f>
        <v>0</v>
      </c>
      <c r="L64" s="28">
        <f>IFERROR(IF($C$12=2,0,IF($C$8="project-supplement",0,IF(OR($G$7="Salary and Operations",$G$7="Operations"),(VLOOKUP($C$2,Takstblad!$B$68:$L$80,11,FALSE)*L$68)))),0)</f>
        <v>0</v>
      </c>
      <c r="M64" s="21">
        <f t="shared" si="89"/>
        <v>0</v>
      </c>
      <c r="N64" s="95"/>
      <c r="O64" s="236" t="s">
        <v>112</v>
      </c>
      <c r="P64" s="127"/>
      <c r="Q64" s="136"/>
      <c r="R64" s="138"/>
      <c r="S64" s="137"/>
      <c r="T64" s="137"/>
      <c r="U64" s="137"/>
      <c r="V64" s="137"/>
      <c r="W64" s="137"/>
      <c r="X64" s="138"/>
      <c r="Y64" s="137"/>
      <c r="Z64" s="137"/>
      <c r="AA64" s="137"/>
      <c r="AB64" s="137"/>
      <c r="AC64" s="138"/>
      <c r="AF64" s="78"/>
      <c r="AG64" s="78"/>
      <c r="AH64" s="78"/>
      <c r="AI64" s="78"/>
      <c r="AJ64" s="78"/>
      <c r="AK64" s="78"/>
      <c r="AL64" s="78"/>
      <c r="AM64" s="78"/>
      <c r="AN64" s="78"/>
      <c r="AO64" s="78"/>
      <c r="AP64" s="78"/>
      <c r="AQ64" s="78"/>
      <c r="AR64" s="70"/>
      <c r="AS64" s="70"/>
      <c r="AT64" s="70"/>
      <c r="AU64" s="70"/>
      <c r="AV64" s="70"/>
      <c r="AW64" s="70"/>
      <c r="AX64" s="70"/>
      <c r="AY64" s="70"/>
      <c r="AZ64" s="70"/>
    </row>
    <row r="65" spans="1:62" ht="15" customHeight="1" thickBot="1" x14ac:dyDescent="0.3">
      <c r="A65" s="4" t="s">
        <v>72</v>
      </c>
      <c r="B65" s="16"/>
      <c r="C65" s="22">
        <f>SUM(C52:C64)-SUMIF($A$52:$A$62,Lister!$M$9,C52:C62)</f>
        <v>0</v>
      </c>
      <c r="D65" s="22">
        <f>SUM(D52:D64)-SUMIF($A$52:$A$62,Lister!$M$9,D52:D62)</f>
        <v>0</v>
      </c>
      <c r="E65" s="22">
        <f>SUM(E52:E64)-SUMIF($A$52:$A$62,Lister!$M$9,E52:E62)</f>
        <v>0</v>
      </c>
      <c r="F65" s="22">
        <f>SUM(F52:F64)-SUMIF($A$52:$A$62,Lister!$M$9,F52:F62)</f>
        <v>0</v>
      </c>
      <c r="G65" s="22">
        <f>SUM(G52:G64)-SUMIF($A$52:$A$62,Lister!$M$9,G52:G62)</f>
        <v>0</v>
      </c>
      <c r="H65" s="22">
        <f>SUM(H52:H64)-SUMIF($A$52:$A$62,Lister!$M$9,H52:H62)</f>
        <v>0</v>
      </c>
      <c r="I65" s="51">
        <f>SUM(I52:I64)-SUMIF($A$52:$A$62,Lister!$M$9,I52:I62)</f>
        <v>0</v>
      </c>
      <c r="J65" s="51">
        <f>SUM(J52:J64)-SUMIF($A$52:$A$62,Lister!$M$9,J52:J62)</f>
        <v>0</v>
      </c>
      <c r="K65" s="51">
        <f>SUM(K52:K64)-SUMIF($A$52:$A$62,Lister!$M$9,K52:K62)</f>
        <v>0</v>
      </c>
      <c r="L65" s="51">
        <f>SUM(L52:L64)-SUMIF($A$52:$A$62,Lister!$M$9,L52:L62)</f>
        <v>0</v>
      </c>
      <c r="M65" s="13">
        <f t="shared" si="89"/>
        <v>0</v>
      </c>
      <c r="N65" s="13"/>
      <c r="O65" s="16"/>
      <c r="P65" s="16"/>
      <c r="Q65" s="139" t="s">
        <v>605</v>
      </c>
      <c r="R65" s="140"/>
      <c r="S65" s="241"/>
      <c r="T65" s="145"/>
      <c r="U65" s="145"/>
      <c r="V65" s="145"/>
      <c r="W65" s="145"/>
      <c r="X65" s="320"/>
      <c r="Y65" s="145"/>
      <c r="Z65" s="145"/>
      <c r="AA65" s="145"/>
      <c r="AB65" s="145"/>
      <c r="AC65" s="140"/>
      <c r="AF65" s="78"/>
      <c r="AG65" s="78"/>
      <c r="AH65" s="78"/>
      <c r="AI65" s="78"/>
      <c r="AJ65" s="78"/>
      <c r="AK65" s="78"/>
      <c r="AL65" s="78"/>
      <c r="AM65" s="78"/>
      <c r="AN65" s="78"/>
      <c r="AO65" s="78"/>
      <c r="AP65" s="78"/>
      <c r="AQ65" s="78"/>
      <c r="AR65" s="70"/>
      <c r="AS65" s="70"/>
      <c r="AT65" s="70"/>
      <c r="AU65" s="70"/>
      <c r="AV65" s="70"/>
      <c r="AW65" s="70"/>
      <c r="AX65" s="70"/>
      <c r="AY65" s="70"/>
      <c r="AZ65" s="70"/>
    </row>
    <row r="66" spans="1:62" s="9" customFormat="1" ht="15" customHeight="1" x14ac:dyDescent="0.2">
      <c r="A66" s="71"/>
      <c r="B66" s="76"/>
      <c r="C66" s="76"/>
      <c r="D66" s="76"/>
      <c r="E66" s="76"/>
      <c r="F66" s="76"/>
      <c r="G66" s="76"/>
      <c r="H66" s="76"/>
      <c r="I66" s="76"/>
      <c r="J66" s="76"/>
      <c r="K66" s="76"/>
      <c r="L66" s="76"/>
      <c r="M66" s="76"/>
      <c r="N66" s="76"/>
      <c r="O66" s="86"/>
      <c r="P66" s="86"/>
      <c r="Q66" s="141"/>
      <c r="R66" s="142"/>
      <c r="S66" s="16"/>
      <c r="T66" s="76"/>
      <c r="U66" s="76"/>
      <c r="V66" s="76"/>
      <c r="W66" s="76"/>
      <c r="X66" s="142"/>
      <c r="Y66" s="76"/>
      <c r="Z66" s="76"/>
      <c r="AA66" s="76"/>
      <c r="AB66" s="76"/>
      <c r="AC66" s="142"/>
      <c r="AF66" s="70"/>
      <c r="AG66" s="70"/>
      <c r="AH66" s="70"/>
      <c r="AI66" s="70"/>
      <c r="AJ66" s="70"/>
      <c r="AK66" s="70"/>
      <c r="AL66" s="70"/>
      <c r="AM66" s="70"/>
      <c r="AN66" s="70"/>
      <c r="AO66" s="70"/>
      <c r="AP66" s="70"/>
      <c r="AQ66" s="70"/>
      <c r="AR66" s="71"/>
      <c r="AS66" s="71"/>
      <c r="AT66" s="71"/>
      <c r="AU66" s="71"/>
      <c r="AV66" s="71"/>
      <c r="AW66" s="71"/>
      <c r="AX66" s="71"/>
      <c r="AY66" s="71"/>
      <c r="AZ66" s="71"/>
    </row>
    <row r="67" spans="1:62" ht="15" hidden="1" customHeight="1" x14ac:dyDescent="0.2">
      <c r="A67" s="71" t="s">
        <v>196</v>
      </c>
      <c r="B67" s="70"/>
      <c r="C67" s="109">
        <f>SUMIFS(C33:C42,$O$33:$O$42,Lister!$D$30,$B$33:$B$42,Lister!$A$37)+SUMIFS(C33:C42,$O$33:$O$42,Lister!$D$29,$B$33:$B$42,Lister!$A$37)</f>
        <v>0</v>
      </c>
      <c r="D67" s="109">
        <f>SUMIFS(D33:D42,$O$33:$O$42,Lister!$D$30,$B$33:$B$42,Lister!$A$37)+SUMIFS(D33:D42,$O$33:$O$42,Lister!$D$29,$B$33:$B$42,Lister!$A$37)</f>
        <v>0</v>
      </c>
      <c r="E67" s="109">
        <f>SUMIFS(E33:E42,$O$33:$O$42,Lister!$D$30,$B$33:$B$42,Lister!$A$37)+SUMIFS(E33:E42,$O$33:$O$42,Lister!$D$29,$B$33:$B$42,Lister!$A$37)</f>
        <v>0</v>
      </c>
      <c r="F67" s="109">
        <f>SUMIFS(F33:F42,$O$33:$O$42,Lister!$D$30,$B$33:$B$42,Lister!$A$37)+SUMIFS(F33:F42,$O$33:$O$42,Lister!$D$29,$B$33:$B$42,Lister!$A$37)</f>
        <v>0</v>
      </c>
      <c r="G67" s="109">
        <f>SUMIFS(G33:G42,$O$33:$O$42,Lister!$D$30,$B$33:$B$42,Lister!$A$37)+SUMIFS(G33:G42,$O$33:$O$42,Lister!$D$29,$B$33:$B$42,Lister!$A$37)</f>
        <v>0</v>
      </c>
      <c r="H67" s="109">
        <f>SUMIFS(H33:H42,$O$33:$O$42,Lister!$D$30,$B$33:$B$42,Lister!$A$37)+SUMIFS(H33:H42,$O$33:$O$42,Lister!$D$29,$B$33:$B$42,Lister!$A$37)</f>
        <v>0</v>
      </c>
      <c r="I67" s="109">
        <f>SUMIFS(I33:I42,$O$33:$O$42,Lister!$D$30,$B$33:$B$42,Lister!$A$37)+SUMIFS(I33:I42,$O$33:$O$42,Lister!$D$29,$B$33:$B$42,Lister!$A$37)</f>
        <v>0</v>
      </c>
      <c r="J67" s="109">
        <f>SUMIFS(J33:J42,$O$33:$O$42,Lister!$D$30,$B$33:$B$42,Lister!$A$37)+SUMIFS(J33:J42,$O$33:$O$42,Lister!$D$29,$B$33:$B$42,Lister!$A$37)</f>
        <v>0</v>
      </c>
      <c r="K67" s="109">
        <f>SUMIFS(K33:K42,$O$33:$O$42,Lister!$D$30,$B$33:$B$42,Lister!$A$37)+SUMIFS(K33:K42,$O$33:$O$42,Lister!$D$29,$B$33:$B$42,Lister!$A$37)</f>
        <v>0</v>
      </c>
      <c r="L67" s="109">
        <f>SUMIFS(L33:L42,$O$33:$O$42,Lister!$D$30,$B$33:$B$42,Lister!$A$37)+SUMIFS(L33:L42,$O$33:$O$42,Lister!$D$29,$B$33:$B$42,Lister!$A$37)</f>
        <v>0</v>
      </c>
      <c r="M67" s="70"/>
      <c r="N67" s="70"/>
      <c r="O67" s="85"/>
      <c r="P67" s="85"/>
      <c r="Q67" s="141"/>
      <c r="R67" s="142"/>
      <c r="S67" s="16"/>
      <c r="T67" s="76"/>
      <c r="U67" s="76"/>
      <c r="V67" s="76"/>
      <c r="W67" s="76"/>
      <c r="X67" s="142"/>
      <c r="Y67" s="76"/>
      <c r="Z67" s="76"/>
      <c r="AA67" s="76"/>
      <c r="AB67" s="76"/>
      <c r="AC67" s="142"/>
      <c r="AF67" s="70"/>
      <c r="AG67" s="70"/>
      <c r="AH67" s="70"/>
      <c r="AI67" s="70"/>
      <c r="AJ67" s="70"/>
      <c r="AK67" s="70"/>
      <c r="AL67" s="70"/>
      <c r="AM67" s="70"/>
      <c r="AN67" s="70"/>
      <c r="AO67" s="70"/>
      <c r="AP67" s="70"/>
      <c r="AQ67" s="70"/>
      <c r="AR67" s="70"/>
      <c r="AS67" s="70"/>
      <c r="AT67" s="70"/>
      <c r="AU67" s="70"/>
      <c r="AV67" s="70"/>
      <c r="AW67" s="70"/>
      <c r="AX67" s="70"/>
      <c r="AY67" s="70"/>
      <c r="AZ67" s="70"/>
    </row>
    <row r="68" spans="1:62" ht="14.25" hidden="1" customHeight="1" x14ac:dyDescent="0.2">
      <c r="A68" s="71" t="s">
        <v>197</v>
      </c>
      <c r="B68" s="71"/>
      <c r="C68" s="109">
        <f>SUMIFS(C33:C42,$O$33:$O$42,Lister!$D$31,$B$33:$B$42,Lister!$A$37)</f>
        <v>0</v>
      </c>
      <c r="D68" s="109">
        <f>SUMIFS(D33:D42,$O$33:$O$42,Lister!$D$31,$B$33:$B$42,Lister!$A$37)</f>
        <v>0</v>
      </c>
      <c r="E68" s="109">
        <f>SUMIFS(E33:E42,$O$33:$O$42,Lister!$D$31,$B$33:$B$42,Lister!$A$37)</f>
        <v>0</v>
      </c>
      <c r="F68" s="109">
        <f>SUMIFS(F33:F42,$O$33:$O$42,Lister!$D$31,$B$33:$B$42,Lister!$A$37)</f>
        <v>0</v>
      </c>
      <c r="G68" s="109">
        <f>SUMIFS(G33:G42,$O$33:$O$42,Lister!$D$31,$B$33:$B$42,Lister!$A$37)</f>
        <v>0</v>
      </c>
      <c r="H68" s="109">
        <f>SUMIFS(H33:H42,$O$33:$O$42,Lister!$D$31,$B$33:$B$42,Lister!$A$37)</f>
        <v>0</v>
      </c>
      <c r="I68" s="109">
        <f>SUMIFS(I33:I42,$O$33:$O$42,Lister!$D$31,$B$33:$B$42,Lister!$A$37)</f>
        <v>0</v>
      </c>
      <c r="J68" s="109">
        <f>SUMIFS(J33:J42,$O$33:$O$42,Lister!$D$31,$B$33:$B$42,Lister!$A$37)</f>
        <v>0</v>
      </c>
      <c r="K68" s="109">
        <f>SUMIFS(K33:K42,$O$33:$O$42,Lister!$D$31,$B$33:$B$42,Lister!$A$37)</f>
        <v>0</v>
      </c>
      <c r="L68" s="109">
        <f>SUMIFS(L33:L42,$O$33:$O$42,Lister!$D$31,$B$33:$B$42,Lister!$A$37)</f>
        <v>0</v>
      </c>
      <c r="M68" s="71"/>
      <c r="N68" s="71"/>
      <c r="O68" s="87"/>
      <c r="P68" s="87"/>
      <c r="Q68" s="141"/>
      <c r="R68" s="142"/>
      <c r="S68" s="16"/>
      <c r="T68" s="76"/>
      <c r="U68" s="76"/>
      <c r="V68" s="76"/>
      <c r="W68" s="76"/>
      <c r="X68" s="142"/>
      <c r="Y68" s="76"/>
      <c r="Z68" s="76"/>
      <c r="AA68" s="76"/>
      <c r="AB68" s="76"/>
      <c r="AC68" s="142"/>
      <c r="AF68" s="71"/>
      <c r="AG68" s="71"/>
      <c r="AH68" s="71"/>
      <c r="AI68" s="71"/>
      <c r="AJ68" s="71"/>
      <c r="AK68" s="71"/>
      <c r="AL68" s="71"/>
      <c r="AM68" s="71"/>
      <c r="AN68" s="71"/>
      <c r="AO68" s="71"/>
      <c r="AP68" s="71"/>
      <c r="AQ68" s="71"/>
      <c r="AR68" s="70"/>
      <c r="AS68" s="70"/>
    </row>
    <row r="69" spans="1:62" s="9" customFormat="1" ht="14.25" customHeight="1" x14ac:dyDescent="0.2">
      <c r="A69" s="70"/>
      <c r="B69" s="73"/>
      <c r="C69" s="70"/>
      <c r="D69" s="70"/>
      <c r="E69" s="70"/>
      <c r="F69" s="70"/>
      <c r="G69" s="70"/>
      <c r="H69" s="73"/>
      <c r="I69" s="73"/>
      <c r="J69" s="73"/>
      <c r="K69" s="73"/>
      <c r="L69" s="73"/>
      <c r="M69" s="73"/>
      <c r="N69" s="73"/>
      <c r="O69" s="88"/>
      <c r="P69" s="88"/>
      <c r="Q69" s="161" t="s">
        <v>22</v>
      </c>
      <c r="R69" s="133" t="s">
        <v>34</v>
      </c>
      <c r="S69" s="45">
        <f>+S53</f>
        <v>2025</v>
      </c>
      <c r="T69" s="8">
        <f t="shared" ref="T69:Z69" si="108">+T53</f>
        <v>2026</v>
      </c>
      <c r="U69" s="8">
        <f t="shared" si="108"/>
        <v>2027</v>
      </c>
      <c r="V69" s="8">
        <f t="shared" si="108"/>
        <v>2028</v>
      </c>
      <c r="W69" s="8">
        <f t="shared" si="108"/>
        <v>2029</v>
      </c>
      <c r="X69" s="133">
        <f t="shared" si="108"/>
        <v>2030</v>
      </c>
      <c r="Y69" s="8">
        <f t="shared" si="108"/>
        <v>2031</v>
      </c>
      <c r="Z69" s="8">
        <f t="shared" si="108"/>
        <v>2032</v>
      </c>
      <c r="AA69" s="8">
        <f t="shared" ref="AA69:AB69" si="109">+AA53</f>
        <v>2033</v>
      </c>
      <c r="AB69" s="8">
        <f t="shared" si="109"/>
        <v>2034</v>
      </c>
      <c r="AC69" s="133" t="s">
        <v>34</v>
      </c>
      <c r="AF69" s="71"/>
      <c r="AG69" s="71"/>
      <c r="AH69" s="71"/>
      <c r="AI69" s="71"/>
      <c r="AJ69" s="71"/>
      <c r="AK69" s="71"/>
      <c r="AL69" s="71"/>
      <c r="AM69" s="71"/>
      <c r="AN69" s="71"/>
      <c r="AO69" s="71"/>
      <c r="AP69" s="71"/>
      <c r="AQ69" s="71"/>
      <c r="AR69" s="71"/>
      <c r="AS69" s="71"/>
    </row>
    <row r="70" spans="1:62" s="9" customFormat="1" ht="14.25" customHeight="1" x14ac:dyDescent="0.2">
      <c r="A70" s="70"/>
      <c r="B70" s="78"/>
      <c r="C70" s="78"/>
      <c r="D70" s="78"/>
      <c r="E70" s="78"/>
      <c r="F70" s="78"/>
      <c r="G70" s="78"/>
      <c r="H70" s="78"/>
      <c r="I70" s="78"/>
      <c r="J70" s="78"/>
      <c r="K70" s="78"/>
      <c r="L70" s="78"/>
      <c r="M70" s="78"/>
      <c r="N70" s="78"/>
      <c r="O70" s="89"/>
      <c r="P70" s="89"/>
      <c r="Q70" s="156" t="s">
        <v>74</v>
      </c>
      <c r="R70" s="330">
        <f t="shared" ref="R70:R79" si="110">+AC70</f>
        <v>0</v>
      </c>
      <c r="S70" s="331">
        <f>+SUMIF($O$20:$O$29,Lister!$D$29,S20:S29)+SUMIF($O$20:$O$29,Lister!$D$30,S20:S29)</f>
        <v>0</v>
      </c>
      <c r="T70" s="334">
        <f>+SUMIF($O$20:$O$29,Lister!$D$29,T20:T29)+SUMIF($O$20:$O$29,Lister!$D$30,T20:T29)</f>
        <v>0</v>
      </c>
      <c r="U70" s="331">
        <f>+SUMIF($O$20:$O$29,Lister!$D$29,U20:U29)+SUMIF($O$20:$O$29,Lister!$D$30,U20:U29)</f>
        <v>0</v>
      </c>
      <c r="V70" s="334">
        <f>+SUMIF($O$20:$O$29,Lister!$D$29,V20:V29)+SUMIF($O$20:$O$29,Lister!$D$30,V20:V29)</f>
        <v>0</v>
      </c>
      <c r="W70" s="331">
        <f>+SUMIF($O$20:$O$29,Lister!$D$29,W20:W29)+SUMIF($O$20:$O$29,Lister!$D$30,W20:W29)</f>
        <v>0</v>
      </c>
      <c r="X70" s="335">
        <f>+SUMIF($O$20:$O$29,Lister!$D$29,X20:X29)+SUMIF($O$20:$O$29,Lister!$D$30,X20:X29)</f>
        <v>0</v>
      </c>
      <c r="Y70" s="309">
        <f>+SUMIF($O$20:$O$29,Lister!$D$29,Y20:Y29)+SUMIF($O$20:$O$29,Lister!$D$30,Y20:Y29)</f>
        <v>0</v>
      </c>
      <c r="Z70" s="28">
        <f>+SUMIF($O$20:$O$29,Lister!$D$29,Z20:Z29)+SUMIF($O$20:$O$29,Lister!$D$30,Z20:Z29)</f>
        <v>0</v>
      </c>
      <c r="AA70" s="28">
        <f>+SUMIF($O$20:$O$29,Lister!$D$29,AA20:AA29)+SUMIF($O$20:$O$29,Lister!$D$30,AA20:AA29)</f>
        <v>0</v>
      </c>
      <c r="AB70" s="28">
        <f>+SUMIF($O$20:$O$29,Lister!$D$29,AB20:AB29)+SUMIF($O$20:$O$29,Lister!$D$30,AB20:AB29)</f>
        <v>0</v>
      </c>
      <c r="AC70" s="149">
        <f>SUM(S70:AB70)</f>
        <v>0</v>
      </c>
      <c r="AF70" s="71"/>
      <c r="AG70" s="71"/>
      <c r="AH70" s="71"/>
      <c r="AI70" s="71"/>
      <c r="AJ70" s="71"/>
      <c r="AK70" s="71"/>
      <c r="AL70" s="71"/>
      <c r="AM70" s="71"/>
      <c r="AN70" s="71"/>
      <c r="AO70" s="71"/>
      <c r="AP70" s="71"/>
      <c r="AQ70" s="71"/>
      <c r="AR70" s="71"/>
      <c r="AS70" s="71"/>
    </row>
    <row r="71" spans="1:62" ht="14.25" customHeight="1" x14ac:dyDescent="0.2">
      <c r="N71" s="78"/>
      <c r="O71" s="89"/>
      <c r="P71" s="89"/>
      <c r="Q71" s="157" t="s">
        <v>75</v>
      </c>
      <c r="R71" s="324">
        <f t="shared" si="110"/>
        <v>0</v>
      </c>
      <c r="S71" s="325">
        <f>+SUMIF($O$33:$O$45,Lister!$D$29,S33:S45)+SUMIF($O$33:$O$45,Lister!$D$30,S33:S45)</f>
        <v>0</v>
      </c>
      <c r="T71" s="336">
        <f>+SUMIF($O$33:$O$45,Lister!$D$29,T33:T45)+SUMIF($O$33:$O$45,Lister!$D$30,T33:T45)</f>
        <v>0</v>
      </c>
      <c r="U71" s="325">
        <f>+SUMIF($O$33:$O$45,Lister!$D$29,U33:U45)+SUMIF($O$33:$O$45,Lister!$D$30,U33:U45)</f>
        <v>0</v>
      </c>
      <c r="V71" s="336">
        <f>+SUMIF($O$33:$O$45,Lister!$D$29,V33:V45)+SUMIF($O$33:$O$45,Lister!$D$30,V33:V45)</f>
        <v>0</v>
      </c>
      <c r="W71" s="325">
        <f>+SUMIF($O$33:$O$45,Lister!$D$29,W33:W45)+SUMIF($O$33:$O$45,Lister!$D$30,W33:W45)</f>
        <v>0</v>
      </c>
      <c r="X71" s="337">
        <f>+SUMIF($O$33:$O$45,Lister!$D$29,X33:X45)+SUMIF($O$33:$O$45,Lister!$D$30,X33:X45)</f>
        <v>0</v>
      </c>
      <c r="Y71" s="310">
        <f>+SUMIF($O$33:$O$45,Lister!$D$29,Y33:Y45)+SUMIF($O$33:$O$45,Lister!$D$30,Y33:Y45)</f>
        <v>0</v>
      </c>
      <c r="Z71" s="122">
        <f>+SUMIF($O$33:$O$45,Lister!$D$29,Z33:Z45)+SUMIF($O$33:$O$45,Lister!$D$30,Z33:Z45)</f>
        <v>0</v>
      </c>
      <c r="AA71" s="122">
        <f>+SUMIF($O$33:$O$45,Lister!$D$29,AA33:AA45)+SUMIF($O$33:$O$45,Lister!$D$30,AA33:AA45)</f>
        <v>0</v>
      </c>
      <c r="AB71" s="122">
        <f>+SUMIF($O$33:$O$45,Lister!$D$29,AB33:AB45)+SUMIF($O$33:$O$45,Lister!$D$30,AB33:AB45)</f>
        <v>0</v>
      </c>
      <c r="AC71" s="150">
        <f t="shared" ref="AC71:AC79" si="111">SUM(S71:AB71)</f>
        <v>0</v>
      </c>
      <c r="AF71" s="71"/>
      <c r="AG71" s="71"/>
      <c r="AH71" s="71"/>
      <c r="AI71" s="71"/>
      <c r="AJ71" s="71"/>
      <c r="AK71" s="71"/>
      <c r="AL71" s="71"/>
      <c r="AM71" s="71"/>
      <c r="AN71" s="71"/>
      <c r="AO71" s="71"/>
      <c r="AP71" s="71"/>
      <c r="AQ71" s="71"/>
      <c r="AR71" s="70"/>
      <c r="AS71" s="70"/>
    </row>
    <row r="72" spans="1:62" s="14" customFormat="1" ht="14.25" customHeight="1" x14ac:dyDescent="0.2">
      <c r="N72" s="70"/>
      <c r="O72" s="85"/>
      <c r="P72" s="85"/>
      <c r="Q72" s="158" t="s">
        <v>76</v>
      </c>
      <c r="R72" s="327">
        <f t="shared" si="110"/>
        <v>0</v>
      </c>
      <c r="S72" s="328">
        <f>+SUM(S70:S71)</f>
        <v>0</v>
      </c>
      <c r="T72" s="328">
        <f t="shared" ref="T72" si="112">+SUM(T70:T71)</f>
        <v>0</v>
      </c>
      <c r="U72" s="328">
        <f t="shared" ref="U72" si="113">+SUM(U70:U71)</f>
        <v>0</v>
      </c>
      <c r="V72" s="328">
        <f t="shared" ref="V72" si="114">+SUM(V70:V71)</f>
        <v>0</v>
      </c>
      <c r="W72" s="328">
        <f t="shared" ref="W72" si="115">+SUM(W70:W71)</f>
        <v>0</v>
      </c>
      <c r="X72" s="329">
        <f t="shared" ref="X72" si="116">+SUM(X70:X71)</f>
        <v>0</v>
      </c>
      <c r="Y72" s="151">
        <f t="shared" ref="Y72" si="117">+SUM(Y70:Y71)</f>
        <v>0</v>
      </c>
      <c r="Z72" s="146">
        <f t="shared" ref="Z72:AB72" si="118">+SUM(Z70:Z71)</f>
        <v>0</v>
      </c>
      <c r="AA72" s="146">
        <f t="shared" si="118"/>
        <v>0</v>
      </c>
      <c r="AB72" s="146">
        <f t="shared" si="118"/>
        <v>0</v>
      </c>
      <c r="AC72" s="147">
        <f t="shared" si="111"/>
        <v>0</v>
      </c>
      <c r="AF72" s="71"/>
      <c r="AG72" s="71"/>
      <c r="AH72" s="71"/>
      <c r="AI72" s="71"/>
      <c r="AJ72" s="71"/>
      <c r="AK72" s="71"/>
      <c r="AL72" s="71"/>
      <c r="AM72" s="71"/>
      <c r="AN72" s="71"/>
      <c r="AO72" s="71"/>
      <c r="AP72" s="71"/>
      <c r="AQ72" s="71"/>
      <c r="AR72" s="79"/>
      <c r="AS72" s="79"/>
    </row>
    <row r="73" spans="1:62" ht="14.25" customHeight="1" x14ac:dyDescent="0.2">
      <c r="N73" s="70"/>
      <c r="O73" s="85"/>
      <c r="P73" s="85"/>
      <c r="Q73" s="158" t="s">
        <v>77</v>
      </c>
      <c r="R73" s="327">
        <f t="shared" si="110"/>
        <v>0</v>
      </c>
      <c r="S73" s="328">
        <f>+SUMIF($O$52:$O$64,Lister!$D$29,C52:C64)+SUMIF($O$52:$O$64,Lister!$D$30,C52:C64)-SUMIFS(C52:C64,$O$52:$O$64,Lister!$D$29,$A$52:$A$64,Lister!$M$9)-SUMIFS(C52:C64,$O$52:$O$64,Lister!$D$30,$A$52:$A$64,Lister!$M$9)</f>
        <v>0</v>
      </c>
      <c r="T73" s="328">
        <f>+SUMIF($O$52:$O$64,Lister!$D$29,D52:D64)+SUMIF($O$52:$O$64,Lister!$D$30,D52:D64)-SUMIFS(D52:D64,$O$52:$O$64,Lister!$D$29,$A$52:$A$64,Lister!$M$9)-SUMIFS(D52:D64,$O$52:$O$64,Lister!$D$30,$A$52:$A$64,Lister!$M$9)</f>
        <v>0</v>
      </c>
      <c r="U73" s="328">
        <f>+SUMIF($O$52:$O$64,Lister!$D$29,E52:E64)+SUMIF($O$52:$O$64,Lister!$D$30,E52:E64)-SUMIFS(E52:E64,$O$52:$O$64,Lister!$D$29,$A$52:$A$64,Lister!$M$9)-SUMIFS(E52:E64,$O$52:$O$64,Lister!$D$30,$A$52:$A$64,Lister!$M$9)</f>
        <v>0</v>
      </c>
      <c r="V73" s="328">
        <f>+SUMIF($O$52:$O$64,Lister!$D$29,F52:F64)+SUMIF($O$52:$O$64,Lister!$D$30,F52:F64)-SUMIFS(F52:F64,$O$52:$O$64,Lister!$D$29,$A$52:$A$64,Lister!$M$9)-SUMIFS(F52:F64,$O$52:$O$64,Lister!$D$30,$A$52:$A$64,Lister!$M$9)</f>
        <v>0</v>
      </c>
      <c r="W73" s="328">
        <f>+SUMIF($O$52:$O$64,Lister!$D$29,G52:G64)+SUMIF($O$52:$O$64,Lister!$D$30,G52:G64)-SUMIFS(G52:G64,$O$52:$O$64,Lister!$D$29,$A$52:$A$64,Lister!$M$9)-SUMIFS(G52:G64,$O$52:$O$64,Lister!$D$30,$A$52:$A$64,Lister!$M$9)</f>
        <v>0</v>
      </c>
      <c r="X73" s="329">
        <f>+SUMIF($O$52:$O$64,Lister!$D$29,H52:H64)+SUMIF($O$52:$O$64,Lister!$D$30,H52:H64)-SUMIFS(H52:H64,$O$52:$O$64,Lister!$D$29,$A$52:$A$64,Lister!$M$9)-SUMIFS(H52:H64,$O$52:$O$64,Lister!$D$30,$A$52:$A$64,Lister!$M$9)</f>
        <v>0</v>
      </c>
      <c r="Y73" s="311">
        <f>+SUMIF($O$52:$O$64,Lister!$D$29,I52:I64)+SUMIF($O$52:$O$64,Lister!$D$30,I52:I64)-SUMIFS(I52:I64,$O$52:$O$64,Lister!$D$29,$A$52:$A$64,Lister!$M$9)-SUMIFS(I52:I64,$O$52:$O$64,Lister!$D$30,$A$52:$A$64,Lister!$M$9)</f>
        <v>0</v>
      </c>
      <c r="Z73" s="146">
        <f>+SUMIF($O$52:$O$64,Lister!$D$29,J52:J64)+SUMIF($O$52:$O$64,Lister!$D$30,J52:J64)-SUMIFS(J52:J64,$O$52:$O$64,Lister!$D$29,$A$52:$A$64,Lister!$M$9)-SUMIFS(J52:J64,$O$52:$O$64,Lister!$D$30,$A$52:$A$64,Lister!$M$9)</f>
        <v>0</v>
      </c>
      <c r="AA73" s="146">
        <f>+SUMIF($O$52:$O$64,Lister!$D$29,K52:K64)+SUMIF($O$52:$O$64,Lister!$D$30,K52:K64)-SUMIFS(K52:K64,$O$52:$O$64,Lister!$D$29,$A$52:$A$64,Lister!$M$9)-SUMIFS(K52:K64,$O$52:$O$64,Lister!$D$30,$A$52:$A$64,Lister!$M$9)</f>
        <v>0</v>
      </c>
      <c r="AB73" s="146">
        <f>+SUMIF($O$52:$O$64,Lister!$D$29,L52:L64)+SUMIF($O$52:$O$64,Lister!$D$30,L52:L64)-SUMIFS(L52:L64,$O$52:$O$64,Lister!$D$29,$A$52:$A$64,Lister!$M$9)-SUMIFS(L52:L64,$O$52:$O$64,Lister!$D$30,$A$52:$A$64,Lister!$M$9)</f>
        <v>0</v>
      </c>
      <c r="AC73" s="147">
        <f t="shared" si="111"/>
        <v>0</v>
      </c>
      <c r="AF73" s="70"/>
      <c r="AG73" s="70"/>
      <c r="AH73" s="70"/>
      <c r="AI73" s="70"/>
      <c r="AJ73" s="70"/>
      <c r="AK73" s="70"/>
      <c r="AL73" s="70"/>
      <c r="AM73" s="70"/>
      <c r="AN73" s="70"/>
      <c r="AO73" s="70"/>
      <c r="AP73" s="70"/>
      <c r="AQ73" s="70"/>
      <c r="AR73" s="70"/>
      <c r="AS73" s="70"/>
    </row>
    <row r="74" spans="1:62" s="9" customFormat="1" ht="14.25" customHeight="1" x14ac:dyDescent="0.2">
      <c r="N74" s="79"/>
      <c r="O74" s="90"/>
      <c r="P74" s="90"/>
      <c r="Q74" s="158" t="s">
        <v>78</v>
      </c>
      <c r="R74" s="327">
        <f t="shared" si="110"/>
        <v>0</v>
      </c>
      <c r="S74" s="328">
        <f>+S72+S73</f>
        <v>0</v>
      </c>
      <c r="T74" s="328">
        <f>+T72+T73</f>
        <v>0</v>
      </c>
      <c r="U74" s="328">
        <f>+U72+U73</f>
        <v>0</v>
      </c>
      <c r="V74" s="328">
        <f t="shared" ref="V74:Z74" si="119">+V72+V73</f>
        <v>0</v>
      </c>
      <c r="W74" s="328">
        <f t="shared" si="119"/>
        <v>0</v>
      </c>
      <c r="X74" s="329">
        <f t="shared" si="119"/>
        <v>0</v>
      </c>
      <c r="Y74" s="311">
        <f t="shared" si="119"/>
        <v>0</v>
      </c>
      <c r="Z74" s="146">
        <f t="shared" si="119"/>
        <v>0</v>
      </c>
      <c r="AA74" s="146">
        <f t="shared" ref="AA74:AB74" si="120">+AA72+AA73</f>
        <v>0</v>
      </c>
      <c r="AB74" s="146">
        <f t="shared" si="120"/>
        <v>0</v>
      </c>
      <c r="AC74" s="147">
        <f t="shared" si="111"/>
        <v>0</v>
      </c>
      <c r="AF74" s="79"/>
      <c r="AG74" s="79"/>
      <c r="AH74" s="79"/>
      <c r="AI74" s="79"/>
      <c r="AJ74" s="79"/>
      <c r="AK74" s="79"/>
      <c r="AL74" s="79"/>
      <c r="AM74" s="79"/>
      <c r="AN74" s="79"/>
      <c r="AO74" s="79"/>
      <c r="AP74" s="79"/>
      <c r="AQ74" s="79"/>
      <c r="AR74" s="71"/>
      <c r="AS74" s="71"/>
    </row>
    <row r="75" spans="1:62" ht="14.25" customHeight="1" x14ac:dyDescent="0.2">
      <c r="N75" s="70"/>
      <c r="O75" s="85"/>
      <c r="P75" s="85"/>
      <c r="Q75" s="159" t="s">
        <v>0</v>
      </c>
      <c r="R75" s="327">
        <f t="shared" si="110"/>
        <v>0</v>
      </c>
      <c r="S75" s="162">
        <f>IF(C12=2,S72*C6/100,IF($G$6=Lister!$D$4,(S72*$C$6)/100,IF($G$6=Lister!$D$5,(S74*$C$6)/100,IF($G$6=Lister!$D$6,(S74-SUMIFS(C52:C64,$O$52:$O$64,Lister!$D$29,$A$52:$A$64,Lister!$M$10)-SUMIFS(C52:C64,$O$52:$O$64,Lister!$D$30,$A$52:$A$64,Lister!$M$10)*$C$6)/100,IF($G$6=Lister!$D$7,(S73*$C$6)/100,0)))))</f>
        <v>0</v>
      </c>
      <c r="T75" s="340">
        <f>IF(D12=2,T72*D6/100,IF($G$6=Lister!$D$4,(T72*$C$6)/100,IF($G$6=Lister!$D$5,(T74*$C$6)/100,IF($G$6=Lister!$D$6,(T74-SUMIFS(D52:D64,$O$52:$O$64,Lister!$D$29,$A$52:$A$64,Lister!$M$10)-SUMIFS(D52:D64,$O$52:$O$64,Lister!$D$30,$A$52:$A$64,Lister!$M$10)*$C$6)/100,IF($G$6=Lister!$D$7,(T73*$C$6)/100,0)))))</f>
        <v>0</v>
      </c>
      <c r="U75" s="340">
        <f>IF(E12=2,U72*E6/100,IF($G$6=Lister!$D$4,(U72*$C$6)/100,IF($G$6=Lister!$D$5,(U74*$C$6)/100,IF($G$6=Lister!$D$6,(U74-SUMIFS(E52:E64,$O$52:$O$64,Lister!$D$29,$A$52:$A$64,Lister!$M$10)-SUMIFS(E52:E64,$O$52:$O$64,Lister!$D$30,$A$52:$A$64,Lister!$M$10)*$C$6)/100,IF($G$6=Lister!$D$7,(U73*$C$6)/100,0)))))</f>
        <v>0</v>
      </c>
      <c r="V75" s="340">
        <f>IF(F12=2,V72*F6/100,IF($G$6=Lister!$D$4,(V72*$C$6)/100,IF($G$6=Lister!$D$5,(V74*$C$6)/100,IF($G$6=Lister!$D$6,(V74-SUMIFS(F52:F64,$O$52:$O$64,Lister!$D$29,$A$52:$A$64,Lister!$M$10)-SUMIFS(F52:F64,$O$52:$O$64,Lister!$D$30,$A$52:$A$64,Lister!$M$10)*$C$6)/100,IF($G$6=Lister!$D$7,(V73*$C$6)/100,0)))))</f>
        <v>0</v>
      </c>
      <c r="W75" s="340">
        <f>IF(G12=2,W72*G6/100,IF($G$6=Lister!$D$4,(W72*$C$6)/100,IF($G$6=Lister!$D$5,(W74*$C$6)/100,IF($G$6=Lister!$D$6,(W74-SUMIFS(G52:G64,$O$52:$O$64,Lister!$D$29,$A$52:$A$64,Lister!$M$10)-SUMIFS(G52:G64,$O$52:$O$64,Lister!$D$30,$A$52:$A$64,Lister!$M$10)*$C$6)/100,IF($G$6=Lister!$D$7,(W73*$C$6)/100,0)))))</f>
        <v>0</v>
      </c>
      <c r="X75" s="341">
        <f>IF(H12=2,X72*H6/100,IF($G$6=Lister!$D$4,(X72*$C$6)/100,IF($G$6=Lister!$D$5,(X74*$C$6)/100,IF($G$6=Lister!$D$6,(X74-SUMIFS(H52:H64,$O$52:$O$64,Lister!$D$29,$A$52:$A$64,Lister!$M$10)-SUMIFS(H52:H64,$O$52:$O$64,Lister!$D$30,$A$52:$A$64,Lister!$M$10)*$C$6)/100,IF($G$6=Lister!$D$7,(X73*$C$6)/100,0)))))</f>
        <v>0</v>
      </c>
      <c r="Y75" s="216">
        <f>IF(I12=2,Y72*I6/100,IF($G$6=Lister!$D$4,(Y72*$C$6)/100,IF($G$6=Lister!$D$5,(Y74*$C$6)/100,IF($G$6=Lister!$D$6,(Y74-SUMIFS(I52:I64,$O$52:$O$64,Lister!$D$29,$A$52:$A$64,Lister!$M$10)-SUMIFS(I52:I64,$O$52:$O$64,Lister!$D$30,$A$52:$A$64,Lister!$M$10)*$C$6)/100,IF($G$6=Lister!$D$7,(Y73*$C$6)/100,0)))))</f>
        <v>0</v>
      </c>
      <c r="Z75" s="215">
        <f>IF(J12=2,Z72*J6/100,IF($G$6=Lister!$D$4,(Z72*$C$6)/100,IF($G$6=Lister!$D$5,(Z74*$C$6)/100,IF($G$6=Lister!$D$6,(Z74-SUMIFS(J52:J64,$O$52:$O$64,Lister!$D$29,$A$52:$A$64,Lister!$M$10)-SUMIFS(J52:J64,$O$52:$O$64,Lister!$D$30,$A$52:$A$64,Lister!$M$10)*$C$6)/100,IF($G$6=Lister!$D$7,(Z73*$C$6)/100,0)))))</f>
        <v>0</v>
      </c>
      <c r="AA75" s="215">
        <f>IF(K12=2,AA72*K6/100,IF($G$6=Lister!$D$4,(AA72*$C$6)/100,IF($G$6=Lister!$D$5,(AA74*$C$6)/100,IF($G$6=Lister!$D$6,(AA74-SUMIFS(K52:K64,$O$52:$O$64,Lister!$D$29,$A$52:$A$64,Lister!$M$10)-SUMIFS(K52:K64,$O$52:$O$64,Lister!$D$30,$A$52:$A$64,Lister!$M$10)*$C$6)/100,IF($G$6=Lister!$D$7,(AA73*$C$6)/100,0)))))</f>
        <v>0</v>
      </c>
      <c r="AB75" s="215">
        <f>IF(L12=2,AB72*L6/100,IF($G$6=Lister!$D$4,(AB72*$C$6)/100,IF($G$6=Lister!$D$5,(AB74*$C$6)/100,IF($G$6=Lister!$D$6,(AB74-SUMIFS(L52:L64,$O$52:$O$64,Lister!$D$29,$A$52:$A$64,Lister!$M$10)-SUMIFS(L52:L64,$O$52:$O$64,Lister!$D$30,$A$52:$A$64,Lister!$M$10)*$C$6)/100,IF($G$6=Lister!$D$7,(AB73*$C$6)/100,0)))))</f>
        <v>0</v>
      </c>
      <c r="AC75" s="147">
        <f t="shared" si="111"/>
        <v>0</v>
      </c>
      <c r="AF75" s="70"/>
      <c r="AG75" s="70"/>
      <c r="AH75" s="70"/>
      <c r="AI75" s="70"/>
      <c r="AJ75" s="70"/>
      <c r="AK75" s="70"/>
      <c r="AL75" s="70"/>
      <c r="AM75" s="70"/>
      <c r="AN75" s="70"/>
      <c r="AO75" s="70"/>
      <c r="AP75" s="70"/>
      <c r="AQ75" s="70"/>
      <c r="AR75" s="70"/>
      <c r="AS75" s="70"/>
    </row>
    <row r="76" spans="1:62" s="9" customFormat="1" ht="14.25" customHeight="1" x14ac:dyDescent="0.2">
      <c r="N76" s="71"/>
      <c r="O76" s="87"/>
      <c r="P76" s="87"/>
      <c r="Q76" s="160" t="s">
        <v>103</v>
      </c>
      <c r="R76" s="327">
        <f t="shared" si="110"/>
        <v>0</v>
      </c>
      <c r="S76" s="162">
        <f>+IF($C$8=Lister!$O$5,(SUMIF($O$20:$O$29,Lister!D29,C20:C29)+SUMIF($O$20:$O$29,Lister!D30,C20:C29))*Takstblad!C$81,0)</f>
        <v>0</v>
      </c>
      <c r="T76" s="162">
        <f>+IF($C$8=Lister!$O$5,(SUMIF($O$20:$O$29,Lister!E27,D20:D29)+SUMIF($O$20:$O$29,Lister!E28,D20:D29))*Takstblad!D$81,0)</f>
        <v>0</v>
      </c>
      <c r="U76" s="162">
        <f>+IF($C$8=Lister!$O$5,(SUMIF($O$20:$O$29,Lister!F27,E20:E29)+SUMIF($O$20:$O$29,Lister!F28,E20:E29))*Takstblad!E$81,0)</f>
        <v>0</v>
      </c>
      <c r="V76" s="162">
        <f>+IF($C$8=Lister!$O$5,(SUMIF($O$20:$O$29,Lister!G27,F20:F29)+SUMIF($O$20:$O$29,Lister!G28,F20:F29))*Takstblad!F$81,0)</f>
        <v>0</v>
      </c>
      <c r="W76" s="162">
        <f>+IF($C$8=Lister!$O$5,(SUMIF($O$20:$O$29,Lister!H27,G20:G29)+SUMIF($O$20:$O$29,Lister!H28,G20:G29))*Takstblad!G$81,0)</f>
        <v>0</v>
      </c>
      <c r="X76" s="315">
        <f>+IF($C$8=Lister!$O$5,(SUMIF($O$20:$O$29,Lister!I27,H20:H29)+SUMIF($O$20:$O$29,Lister!I28,H20:H29))*Takstblad!H$81,0)</f>
        <v>0</v>
      </c>
      <c r="Y76" s="119">
        <f>+IF($C$8=Lister!$O$5,(SUMIF($O$20:$O$29,Lister!J27,I20:I29)+SUMIF($O$20:$O$29,Lister!J28,I20:I29))*Takstblad!I$81,0)</f>
        <v>0</v>
      </c>
      <c r="Z76" s="21">
        <f>+IF($C$8=Lister!$O$5,(SUMIF($O$20:$O$29,Lister!K27,J20:J29)+SUMIF($O$20:$O$29,Lister!K28,J20:J29))*Takstblad!J$81,0)</f>
        <v>0</v>
      </c>
      <c r="AA76" s="21">
        <f>+IF($C$8=Lister!$O$5,(SUMIF($O$20:$O$29,Lister!L27,K20:K29)+SUMIF($O$20:$O$29,Lister!L28,K20:K29))*Takstblad!K$81,0)</f>
        <v>0</v>
      </c>
      <c r="AB76" s="21">
        <f>+IF($C$8=Lister!$O$5,(SUMIF($O$20:$O$29,Lister!M27,L20:L29)+SUMIF($O$20:$O$29,Lister!M28,L20:L29))*Takstblad!L$81,0)</f>
        <v>0</v>
      </c>
      <c r="AC76" s="147">
        <f t="shared" si="111"/>
        <v>0</v>
      </c>
      <c r="AF76" s="71"/>
      <c r="AG76" s="71"/>
      <c r="AH76" s="71"/>
      <c r="AI76" s="71"/>
      <c r="AJ76" s="71"/>
      <c r="AK76" s="71"/>
      <c r="AL76" s="71"/>
      <c r="AM76" s="71"/>
      <c r="AN76" s="71"/>
      <c r="AO76" s="71"/>
      <c r="AP76" s="71"/>
      <c r="AQ76" s="71"/>
      <c r="AR76" s="71"/>
      <c r="AS76" s="71"/>
    </row>
    <row r="77" spans="1:62" s="9" customFormat="1" ht="14.25" customHeight="1" x14ac:dyDescent="0.2">
      <c r="N77" s="70"/>
      <c r="O77" s="85"/>
      <c r="P77" s="85"/>
      <c r="Q77" s="160" t="s">
        <v>108</v>
      </c>
      <c r="R77" s="327">
        <f t="shared" si="110"/>
        <v>0</v>
      </c>
      <c r="S7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$29,$A$20:$A$29,Lister!$A$21)+SUMIFS(C20:C29,$O$20:$O$29,Lister!$D$29,$A$20:$A$29,Lister!$A$29)+SUMIFS(C20:C29,$O$20:$O$29,Lister!$D$29,$A$20:$A$29,Lister!$A$30)+SUMIFS(C20:C29,$O$20:$O$29,Lister!$D$29,$A$20:$A$29,Lister!$A$22)+SUMIFS(C20:C29,$O$20:$O$29,Lister!$D$29,$A$20:$A$29,Lister!$A$23)+SUMIFS(C20:C29,$O$20:$O$29,Lister!$D$29,$A$20:$A$29,Lister!$A$20))/12)*Takstblad!C$82,0)</f>
        <v>0</v>
      </c>
      <c r="T7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$29,$A$20:$A$29,Lister!$A$21)+SUMIFS(D20:D29,$O$20:$O$29,Lister!$D$29,$A$20:$A$29,Lister!$A$29)+SUMIFS(D20:D29,$O$20:$O$29,Lister!$D$29,$A$20:$A$29,Lister!$A$30)+SUMIFS(D20:D29,$O$20:$O$29,Lister!$D$29,$A$20:$A$29,Lister!$A$22)+SUMIFS(D20:D29,$O$20:$O$29,Lister!$D$29,$A$20:$A$29,Lister!$A$23)+SUMIFS(D20:D29,$O$20:$O$29,Lister!$D$29,$A$20:$A$29,Lister!$A$20))/12)*Takstblad!D$82,0)</f>
        <v>0</v>
      </c>
      <c r="U7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$29,$A$20:$A$29,Lister!$A$21)+SUMIFS(E20:E29,$O$20:$O$29,Lister!$D$29,$A$20:$A$29,Lister!$A$29)+SUMIFS(E20:E29,$O$20:$O$29,Lister!$D$29,$A$20:$A$29,Lister!$A$30)+SUMIFS(E20:E29,$O$20:$O$29,Lister!$D$29,$A$20:$A$29,Lister!$A$22)+SUMIFS(E20:E29,$O$20:$O$29,Lister!$D$29,$A$20:$A$29,Lister!$A$23)+SUMIFS(E20:E29,$O$20:$O$29,Lister!$D$29,$A$20:$A$29,Lister!$A$20))/12)*Takstblad!E$82,0)</f>
        <v>0</v>
      </c>
      <c r="V7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$29,$A$20:$A$29,Lister!$A$21)+SUMIFS(F20:F29,$O$20:$O$29,Lister!$D$29,$A$20:$A$29,Lister!$A$29)+SUMIFS(F20:F29,$O$20:$O$29,Lister!$D$29,$A$20:$A$29,Lister!$A$30)+SUMIFS(F20:F29,$O$20:$O$29,Lister!$D$29,$A$20:$A$29,Lister!$A$22)+SUMIFS(F20:F29,$O$20:$O$29,Lister!$D$29,$A$20:$A$29,Lister!$A$23)+SUMIFS(F20:F29,$O$20:$O$29,Lister!$D$29,$A$20:$A$29,Lister!$A$20))/12)*Takstblad!F$82,0)</f>
        <v>0</v>
      </c>
      <c r="W7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$29,$A$20:$A$29,Lister!$A$21)+SUMIFS(G20:G29,$O$20:$O$29,Lister!$D$29,$A$20:$A$29,Lister!$A$29)+SUMIFS(G20:G29,$O$20:$O$29,Lister!$D$29,$A$20:$A$29,Lister!$A$30)+SUMIFS(G20:G29,$O$20:$O$29,Lister!$D$29,$A$20:$A$29,Lister!$A$22)+SUMIFS(G20:G29,$O$20:$O$29,Lister!$D$29,$A$20:$A$29,Lister!$A$23)+SUMIFS(G20:G29,$O$20:$O$29,Lister!$D$29,$A$20:$A$29,Lister!$A$20))/12)*Takstblad!G$82,0)</f>
        <v>0</v>
      </c>
      <c r="X77"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$29,$A$20:$A$29,Lister!$A$21)+SUMIFS(H20:H29,$O$20:$O$29,Lister!$D$29,$A$20:$A$29,Lister!$A$29)+SUMIFS(H20:H29,$O$20:$O$29,Lister!$D$29,$A$20:$A$29,Lister!$A$30)+SUMIFS(H20:H29,$O$20:$O$29,Lister!$D$29,$A$20:$A$29,Lister!$A$22)+SUMIFS(H20:H29,$O$20:$O$29,Lister!$D$29,$A$20:$A$29,Lister!$A$23)+SUMIFS(H20:H29,$O$20:$O$29,Lister!$D$29,$A$20:$A$29,Lister!$A$20))/12)*Takstblad!H$82,0)</f>
        <v>0</v>
      </c>
      <c r="Y7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$29,$A$20:$A$29,Lister!$A$21)+SUMIFS(I20:I29,$O$20:$O$29,Lister!$D$29,$A$20:$A$29,Lister!$A$29)+SUMIFS(I20:I29,$O$20:$O$29,Lister!$D$29,$A$20:$A$29,Lister!$A$30)+SUMIFS(I20:I29,$O$20:$O$29,Lister!$D$29,$A$20:$A$29,Lister!$A$22)+SUMIFS(I20:I29,$O$20:$O$29,Lister!$D$29,$A$20:$A$29,Lister!$A$23)+SUMIFS(I20:I29,$O$20:$O$29,Lister!$D$29,$A$20:$A$29,Lister!$A$20))/12)*Takstblad!I$82,0)</f>
        <v>0</v>
      </c>
      <c r="Z7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$29,$A$20:$A$29,Lister!$A$21)+SUMIFS(J20:J29,$O$20:$O$29,Lister!$D$29,$A$20:$A$29,Lister!$A$29)+SUMIFS(J20:J29,$O$20:$O$29,Lister!$D$29,$A$20:$A$29,Lister!$A$30)+SUMIFS(J20:J29,$O$20:$O$29,Lister!$D$29,$A$20:$A$29,Lister!$A$22)+SUMIFS(J20:J29,$O$20:$O$29,Lister!$D$29,$A$20:$A$29,Lister!$A$23)+SUMIFS(J20:J29,$O$20:$O$29,Lister!$D$29,$A$20:$A$29,Lister!$A$20))/12)*Takstblad!J$82,0)</f>
        <v>0</v>
      </c>
      <c r="AA7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$29,$A$20:$A$29,Lister!$A$21)+SUMIFS(K20:K29,$O$20:$O$29,Lister!$D$29,$A$20:$A$29,Lister!$A$29)+SUMIFS(K20:K29,$O$20:$O$29,Lister!$D$29,$A$20:$A$29,Lister!$A$30)+SUMIFS(K20:K29,$O$20:$O$29,Lister!$D$29,$A$20:$A$29,Lister!$A$22)+SUMIFS(K20:K29,$O$20:$O$29,Lister!$D$29,$A$20:$A$29,Lister!$A$23)+SUMIFS(K20:K29,$O$20:$O$29,Lister!$D$29,$A$20:$A$29,Lister!$A$20))/12)*Takstblad!K$82,0)</f>
        <v>0</v>
      </c>
      <c r="AB7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$29,$A$20:$A$29,Lister!$A$21)+SUMIFS(L20:L29,$O$20:$O$29,Lister!$D$29,$A$20:$A$29,Lister!$A$29)+SUMIFS(L20:L29,$O$20:$O$29,Lister!$D$29,$A$20:$A$29,Lister!$A$30)+SUMIFS(L20:L29,$O$20:$O$29,Lister!$D$29,$A$20:$A$29,Lister!$A$22)+SUMIFS(L20:L29,$O$20:$O$29,Lister!$D$29,$A$20:$A$29,Lister!$A$23)+SUMIFS(L20:L29,$O$20:$O$29,Lister!$D$29,$A$20:$A$29,Lister!$A$20))/12)*Takstblad!L$82,0)</f>
        <v>0</v>
      </c>
      <c r="AC77" s="147">
        <f t="shared" si="111"/>
        <v>0</v>
      </c>
      <c r="AF77" s="70"/>
      <c r="AG77" s="70"/>
      <c r="AH77" s="70"/>
      <c r="AI77" s="70"/>
      <c r="AJ77" s="70"/>
      <c r="AK77" s="70"/>
      <c r="AL77" s="70"/>
      <c r="AM77" s="70"/>
      <c r="AN77" s="70"/>
      <c r="AO77" s="70"/>
      <c r="AP77" s="70"/>
      <c r="AQ77" s="70"/>
      <c r="AR77" s="71"/>
      <c r="AS77" s="71"/>
    </row>
    <row r="78" spans="1:62" ht="14.25" customHeight="1" x14ac:dyDescent="0.2">
      <c r="N78" s="71"/>
      <c r="O78" s="87"/>
      <c r="P78" s="87"/>
      <c r="Q78" s="159" t="s">
        <v>545</v>
      </c>
      <c r="R78" s="327">
        <f t="shared" si="110"/>
        <v>0</v>
      </c>
      <c r="S78" s="162" t="str">
        <f>IF($C$12=2,(SUM(S74:S77)*$C$13)/100,"0")</f>
        <v>0</v>
      </c>
      <c r="T78" s="234" t="str">
        <f t="shared" ref="T78:Z78" si="121">IF($C$12=2,(SUM(T74:T77)*$C$13)/100,"0")</f>
        <v>0</v>
      </c>
      <c r="U78" s="234" t="str">
        <f t="shared" si="121"/>
        <v>0</v>
      </c>
      <c r="V78" s="234" t="str">
        <f t="shared" si="121"/>
        <v>0</v>
      </c>
      <c r="W78" s="234" t="str">
        <f t="shared" si="121"/>
        <v>0</v>
      </c>
      <c r="X78" s="321" t="str">
        <f t="shared" si="121"/>
        <v>0</v>
      </c>
      <c r="Y78" s="235" t="str">
        <f t="shared" si="121"/>
        <v>0</v>
      </c>
      <c r="Z78" s="234" t="str">
        <f t="shared" si="121"/>
        <v>0</v>
      </c>
      <c r="AA78" s="234" t="str">
        <f t="shared" ref="AA78:AB78" si="122">IF($C$12=2,(SUM(AA74:AA77)*$C$13)/100,"0")</f>
        <v>0</v>
      </c>
      <c r="AB78" s="234" t="str">
        <f t="shared" si="122"/>
        <v>0</v>
      </c>
      <c r="AC78" s="147">
        <f t="shared" si="111"/>
        <v>0</v>
      </c>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row>
    <row r="79" spans="1:62" ht="14.25" customHeight="1" x14ac:dyDescent="0.2">
      <c r="N79" s="80"/>
      <c r="O79" s="91"/>
      <c r="P79" s="91"/>
      <c r="Q79" s="158" t="s">
        <v>101</v>
      </c>
      <c r="R79" s="327">
        <f t="shared" si="110"/>
        <v>0</v>
      </c>
      <c r="S79" s="328">
        <f>+SUM(S74:S78)</f>
        <v>0</v>
      </c>
      <c r="T79" s="328">
        <f t="shared" ref="T79:Z79" si="123">+SUM(T74:T78)</f>
        <v>0</v>
      </c>
      <c r="U79" s="328">
        <f t="shared" si="123"/>
        <v>0</v>
      </c>
      <c r="V79" s="328">
        <f t="shared" si="123"/>
        <v>0</v>
      </c>
      <c r="W79" s="328">
        <f t="shared" si="123"/>
        <v>0</v>
      </c>
      <c r="X79" s="329">
        <f t="shared" si="123"/>
        <v>0</v>
      </c>
      <c r="Y79" s="311">
        <f t="shared" si="123"/>
        <v>0</v>
      </c>
      <c r="Z79" s="146">
        <f t="shared" si="123"/>
        <v>0</v>
      </c>
      <c r="AA79" s="146">
        <f t="shared" ref="AA79:AB79" si="124">+SUM(AA74:AA78)</f>
        <v>0</v>
      </c>
      <c r="AB79" s="146">
        <f t="shared" si="124"/>
        <v>0</v>
      </c>
      <c r="AC79" s="147">
        <f t="shared" si="111"/>
        <v>0</v>
      </c>
      <c r="AF79" s="70"/>
      <c r="AG79" s="70"/>
      <c r="AH79" s="70"/>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row>
    <row r="80" spans="1:62" ht="14.25" customHeight="1" x14ac:dyDescent="0.2">
      <c r="N80" s="81"/>
      <c r="O80" s="92"/>
      <c r="P80" s="92"/>
      <c r="Q80" s="141"/>
      <c r="R80" s="135"/>
      <c r="S80" s="16"/>
      <c r="T80" s="125"/>
      <c r="U80" s="125"/>
      <c r="V80" s="125"/>
      <c r="W80" s="125"/>
      <c r="X80" s="322"/>
      <c r="Y80" s="125"/>
      <c r="Z80" s="125"/>
      <c r="AA80" s="125"/>
      <c r="AB80" s="125"/>
      <c r="AC80" s="135"/>
      <c r="AF80" s="71"/>
      <c r="AG80" s="71"/>
      <c r="AH80" s="71"/>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row>
    <row r="81" spans="1:62" s="9" customFormat="1" ht="14.25" customHeight="1" x14ac:dyDescent="0.25">
      <c r="N81" s="81"/>
      <c r="O81" s="92"/>
      <c r="P81" s="92"/>
      <c r="Q81" s="139" t="s">
        <v>606</v>
      </c>
      <c r="R81" s="140"/>
      <c r="S81" s="241"/>
      <c r="T81" s="145"/>
      <c r="U81" s="145"/>
      <c r="V81" s="145"/>
      <c r="W81" s="145"/>
      <c r="X81" s="320"/>
      <c r="Y81" s="145"/>
      <c r="Z81" s="145"/>
      <c r="AA81" s="145"/>
      <c r="AB81" s="145"/>
      <c r="AC81" s="140"/>
      <c r="AF81" s="71"/>
      <c r="AG81" s="71"/>
      <c r="AH81" s="71"/>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row>
    <row r="82" spans="1:62" s="9" customFormat="1" ht="14.25" customHeight="1" x14ac:dyDescent="0.25">
      <c r="N82" s="70"/>
      <c r="O82" s="85"/>
      <c r="P82" s="85"/>
      <c r="Q82" s="143"/>
      <c r="R82" s="142"/>
      <c r="S82" s="16"/>
      <c r="T82" s="76"/>
      <c r="U82" s="76"/>
      <c r="V82" s="76"/>
      <c r="W82" s="76"/>
      <c r="X82" s="142"/>
      <c r="Y82" s="76"/>
      <c r="Z82" s="76"/>
      <c r="AA82" s="76"/>
      <c r="AB82" s="76"/>
      <c r="AC82" s="142"/>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row>
    <row r="83" spans="1:62" s="9" customFormat="1" ht="14.25" customHeight="1" x14ac:dyDescent="0.2">
      <c r="A83" s="23"/>
      <c r="B83" s="16"/>
      <c r="C83" s="16"/>
      <c r="D83" s="71"/>
      <c r="E83" s="71"/>
      <c r="F83" s="71"/>
      <c r="G83" s="71"/>
      <c r="H83" s="71"/>
      <c r="I83" s="71"/>
      <c r="J83" s="71"/>
      <c r="K83" s="71"/>
      <c r="L83" s="71"/>
      <c r="M83" s="71"/>
      <c r="N83" s="71"/>
      <c r="O83" s="87"/>
      <c r="P83" s="87"/>
      <c r="Q83" s="161" t="s">
        <v>22</v>
      </c>
      <c r="R83" s="133" t="s">
        <v>34</v>
      </c>
      <c r="S83" s="45">
        <f>+S69</f>
        <v>2025</v>
      </c>
      <c r="T83" s="8">
        <f t="shared" ref="T83:Z83" si="125">+T69</f>
        <v>2026</v>
      </c>
      <c r="U83" s="8">
        <f t="shared" si="125"/>
        <v>2027</v>
      </c>
      <c r="V83" s="8">
        <f t="shared" si="125"/>
        <v>2028</v>
      </c>
      <c r="W83" s="8">
        <f t="shared" si="125"/>
        <v>2029</v>
      </c>
      <c r="X83" s="133">
        <f t="shared" si="125"/>
        <v>2030</v>
      </c>
      <c r="Y83" s="8">
        <f t="shared" si="125"/>
        <v>2031</v>
      </c>
      <c r="Z83" s="8">
        <f t="shared" si="125"/>
        <v>2032</v>
      </c>
      <c r="AA83" s="8">
        <f t="shared" ref="AA83:AB83" si="126">+AA69</f>
        <v>2033</v>
      </c>
      <c r="AB83" s="8">
        <f t="shared" si="126"/>
        <v>2034</v>
      </c>
      <c r="AC83" s="133" t="s">
        <v>34</v>
      </c>
      <c r="AF83" s="70"/>
      <c r="AG83" s="70"/>
      <c r="AH83" s="70"/>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62" s="9" customFormat="1" ht="14.25" customHeight="1" x14ac:dyDescent="0.2">
      <c r="N84" s="71"/>
      <c r="O84" s="87"/>
      <c r="P84" s="87"/>
      <c r="Q84" s="156" t="s">
        <v>74</v>
      </c>
      <c r="R84" s="330">
        <f t="shared" ref="R84:R93" si="127">+AC84</f>
        <v>0</v>
      </c>
      <c r="S84" s="331">
        <f>+SUMIF($O$20:$O$29,Lister!$D$31,S20:S29)+SUMIF($O$20:$O$29,Lister!$D$32,S20:S29)</f>
        <v>0</v>
      </c>
      <c r="T84" s="334">
        <f>+SUMIF($O$20:$O$29,Lister!$D$31,T20:T29)+SUMIF($O$20:$O$29,Lister!$D$32,T20:T29)</f>
        <v>0</v>
      </c>
      <c r="U84" s="331">
        <f>+SUMIF($O$20:$O$29,Lister!$D$31,U20:U29)+SUMIF($O$20:$O$29,Lister!$D$32,U20:U29)</f>
        <v>0</v>
      </c>
      <c r="V84" s="334">
        <f>+SUMIF($O$20:$O$29,Lister!$D$31,V20:V29)+SUMIF($O$20:$O$29,Lister!$D$32,V20:V29)</f>
        <v>0</v>
      </c>
      <c r="W84" s="331">
        <f>+SUMIF($O$20:$O$29,Lister!$D$31,W20:W29)+SUMIF($O$20:$O$29,Lister!$D$32,W20:W29)</f>
        <v>0</v>
      </c>
      <c r="X84" s="335">
        <f>+SUMIF($O$20:$O$29,Lister!$D$31,X20:X29)+SUMIF($O$20:$O$29,Lister!$D$32,X20:X29)</f>
        <v>0</v>
      </c>
      <c r="Y84" s="309">
        <f>+SUMIF($O$20:$O$29,Lister!$D$31,Y20:Y29)+SUMIF($O$20:$O$29,Lister!$D$32,Y20:Y29)</f>
        <v>0</v>
      </c>
      <c r="Z84" s="28">
        <f>+SUMIF($O$20:$O$29,Lister!$D$31,Z20:Z29)+SUMIF($O$20:$O$29,Lister!$D$32,Z20:Z29)</f>
        <v>0</v>
      </c>
      <c r="AA84" s="28">
        <f>+SUMIF($O$20:$O$29,Lister!$D$31,AA20:AA29)+SUMIF($O$20:$O$29,Lister!$D$32,AA20:AA29)</f>
        <v>0</v>
      </c>
      <c r="AB84" s="28">
        <f>+SUMIF($O$20:$O$29,Lister!$D$31,AB20:AB29)+SUMIF($O$20:$O$29,Lister!$D$32,AB20:AB29)</f>
        <v>0</v>
      </c>
      <c r="AC84" s="149">
        <f>SUM(S84:AB84)</f>
        <v>0</v>
      </c>
      <c r="AF84" s="70"/>
      <c r="AG84" s="70"/>
      <c r="AH84" s="70"/>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row>
    <row r="85" spans="1:62" s="9" customFormat="1" ht="14.25" customHeight="1" x14ac:dyDescent="0.2">
      <c r="N85" s="71"/>
      <c r="O85" s="87"/>
      <c r="P85" s="87"/>
      <c r="Q85" s="157" t="s">
        <v>75</v>
      </c>
      <c r="R85" s="324">
        <f t="shared" si="127"/>
        <v>0</v>
      </c>
      <c r="S85" s="325">
        <f>+SUMIF($O$33:$O$45,Lister!$D$31,S33:S45)+SUMIF($O$33:$O$45,Lister!$D$32,S33:S45)</f>
        <v>0</v>
      </c>
      <c r="T85" s="336">
        <f>+SUMIF($O$33:$O$45,Lister!$D$31,T33:T45)+SUMIF($O$33:$O$45,Lister!$D$32,T33:T45)</f>
        <v>0</v>
      </c>
      <c r="U85" s="325">
        <f>+SUMIF($O$33:$O$45,Lister!$D$31,U33:U45)+SUMIF($O$33:$O$45,Lister!$D$32,U33:U45)</f>
        <v>0</v>
      </c>
      <c r="V85" s="336">
        <f>+SUMIF($O$33:$O$45,Lister!$D$31,V33:V45)+SUMIF($O$33:$O$45,Lister!$D$32,V33:V45)</f>
        <v>0</v>
      </c>
      <c r="W85" s="325">
        <f>+SUMIF($O$33:$O$45,Lister!$D$31,W33:W45)+SUMIF($O$33:$O$45,Lister!$D$32,W33:W45)</f>
        <v>0</v>
      </c>
      <c r="X85" s="337">
        <f>+SUMIF($O$33:$O$45,Lister!$D$31,X33:X45)+SUMIF($O$33:$O$45,Lister!$D$32,X33:X45)</f>
        <v>0</v>
      </c>
      <c r="Y85" s="310">
        <f>+SUMIF($O$33:$O$45,Lister!$D$31,Y33:Y45)+SUMIF($O$33:$O$45,Lister!$D$32,Y33:Y45)</f>
        <v>0</v>
      </c>
      <c r="Z85" s="122">
        <f>+SUMIF($O$33:$O$45,Lister!$D$31,Z33:Z45)+SUMIF($O$33:$O$45,Lister!$D$32,Z33:Z45)</f>
        <v>0</v>
      </c>
      <c r="AA85" s="122">
        <f>+SUMIF($O$33:$O$45,Lister!$D$31,AA33:AA45)+SUMIF($O$33:$O$45,Lister!$D$32,AA33:AA45)</f>
        <v>0</v>
      </c>
      <c r="AB85" s="122">
        <f>+SUMIF($O$33:$O$45,Lister!$D$31,AB33:AB45)+SUMIF($O$33:$O$45,Lister!$D$32,AB33:AB45)</f>
        <v>0</v>
      </c>
      <c r="AC85" s="150">
        <f t="shared" ref="AC85:AC93" si="128">SUM(S85:AB85)</f>
        <v>0</v>
      </c>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row>
    <row r="86" spans="1:62" ht="14.25" customHeight="1" x14ac:dyDescent="0.2">
      <c r="N86" s="71"/>
      <c r="O86" s="87"/>
      <c r="P86" s="87"/>
      <c r="Q86" s="158" t="s">
        <v>76</v>
      </c>
      <c r="R86" s="327">
        <f t="shared" si="127"/>
        <v>0</v>
      </c>
      <c r="S86" s="328">
        <f>+SUM(S84:S85)</f>
        <v>0</v>
      </c>
      <c r="T86" s="328">
        <f t="shared" ref="T86" si="129">+SUM(T84:T85)</f>
        <v>0</v>
      </c>
      <c r="U86" s="328">
        <f t="shared" ref="U86:Z86" si="130">+SUM(U84:U85)</f>
        <v>0</v>
      </c>
      <c r="V86" s="328">
        <f t="shared" si="130"/>
        <v>0</v>
      </c>
      <c r="W86" s="328">
        <f t="shared" si="130"/>
        <v>0</v>
      </c>
      <c r="X86" s="329">
        <f t="shared" si="130"/>
        <v>0</v>
      </c>
      <c r="Y86" s="151">
        <f t="shared" si="130"/>
        <v>0</v>
      </c>
      <c r="Z86" s="146">
        <f t="shared" si="130"/>
        <v>0</v>
      </c>
      <c r="AA86" s="146">
        <f t="shared" ref="AA86:AB86" si="131">+SUM(AA84:AA85)</f>
        <v>0</v>
      </c>
      <c r="AB86" s="146">
        <f t="shared" si="131"/>
        <v>0</v>
      </c>
      <c r="AC86" s="147">
        <f t="shared" si="128"/>
        <v>0</v>
      </c>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row>
    <row r="87" spans="1:62" s="14" customFormat="1" ht="14.25" customHeight="1" x14ac:dyDescent="0.2">
      <c r="N87" s="71"/>
      <c r="O87" s="87"/>
      <c r="P87" s="87"/>
      <c r="Q87" s="158" t="s">
        <v>77</v>
      </c>
      <c r="R87" s="327">
        <f t="shared" si="127"/>
        <v>0</v>
      </c>
      <c r="S87" s="328">
        <f>+SUMIF($O$52:$O$64,Lister!$D$31,C52:C64)+SUMIF($O$52:$O$64,Lister!$D$32,C52:C64)-SUMIFS(C52:C64,$O$52:$O$64,Lister!$D$31,$A$52:$A$64,Lister!$M$9)-SUMIFS(C52:C64,$O$52:$O$64,Lister!$D$32,$A$52:$A$64,Lister!$M$9)</f>
        <v>0</v>
      </c>
      <c r="T87" s="344">
        <f>+SUMIF($O$52:$O$64,Lister!$D$31,D52:D64)+SUMIF($O$52:$O$64,Lister!$D$32,D52:D64)-SUMIFS(D52:D64,$O$52:$O$64,Lister!$D$31,$A$52:$A$64,Lister!$M$9)-SUMIFS(D52:D64,$O$52:$O$64,Lister!$D$32,$A$52:$A$64,Lister!$M$9)</f>
        <v>0</v>
      </c>
      <c r="U87" s="344">
        <f>+SUMIF($O$52:$O$64,Lister!$D$31,E52:E64)+SUMIF($O$52:$O$64,Lister!$D$32,E52:E64)-SUMIFS(E52:E64,$O$52:$O$64,Lister!$D$31,$A$52:$A$64,Lister!$M$9)-SUMIFS(E52:E64,$O$52:$O$64,Lister!$D$32,$A$52:$A$64,Lister!$M$9)</f>
        <v>0</v>
      </c>
      <c r="V87" s="344">
        <f>+SUMIF($O$52:$O$64,Lister!$D$31,F52:F64)+SUMIF($O$52:$O$64,Lister!$D$32,F52:F64)-SUMIFS(F52:F64,$O$52:$O$64,Lister!$D$31,$A$52:$A$64,Lister!$M$9)-SUMIFS(F52:F64,$O$52:$O$64,Lister!$D$32,$A$52:$A$64,Lister!$M$9)</f>
        <v>0</v>
      </c>
      <c r="W87" s="344">
        <f>+SUMIF($O$52:$O$64,Lister!$D$31,G52:G64)+SUMIF($O$52:$O$64,Lister!$D$32,G52:G64)-SUMIFS(G52:G64,$O$52:$O$64,Lister!$D$31,$A$52:$A$64,Lister!$M$9)-SUMIFS(G52:G64,$O$52:$O$64,Lister!$D$32,$A$52:$A$64,Lister!$M$9)</f>
        <v>0</v>
      </c>
      <c r="X87" s="345">
        <f>+SUMIF($O$52:$O$64,Lister!$D$31,H52:H64)+SUMIF($O$52:$O$64,Lister!$D$32,H52:H64)-SUMIFS(H52:H64,$O$52:$O$64,Lister!$D$31,$A$52:$A$64,Lister!$M$9)-SUMIFS(H52:H64,$O$52:$O$64,Lister!$D$32,$A$52:$A$64,Lister!$M$9)</f>
        <v>0</v>
      </c>
      <c r="Y87" s="220">
        <f>+SUMIF($O$52:$O$64,Lister!$D$31,I52:I64)+SUMIF($O$52:$O$64,Lister!$D$32,I52:I64)-SUMIFS(I52:I64,$O$52:$O$64,Lister!$D$31,$A$52:$A$64,Lister!$M$9)-SUMIFS(I52:I64,$O$52:$O$64,Lister!$D$32,$A$52:$A$64,Lister!$M$9)</f>
        <v>0</v>
      </c>
      <c r="Z87" s="219">
        <f>+SUMIF($O$52:$O$64,Lister!$D$31,J52:J64)+SUMIF($O$52:$O$64,Lister!$D$32,J52:J64)-SUMIFS(J52:J64,$O$52:$O$64,Lister!$D$31,$A$52:$A$64,Lister!$M$9)-SUMIFS(J52:J64,$O$52:$O$64,Lister!$D$32,$A$52:$A$64,Lister!$M$9)</f>
        <v>0</v>
      </c>
      <c r="AA87" s="219">
        <f>+SUMIF($O$52:$O$64,Lister!$D$31,K52:K64)+SUMIF($O$52:$O$64,Lister!$D$32,K52:K64)-SUMIFS(K52:K64,$O$52:$O$64,Lister!$D$31,$A$52:$A$64,Lister!$M$9)-SUMIFS(K52:K64,$O$52:$O$64,Lister!$D$32,$A$52:$A$64,Lister!$M$9)</f>
        <v>0</v>
      </c>
      <c r="AB87" s="219">
        <f>+SUMIF($O$52:$O$64,Lister!$D$31,L52:L64)+SUMIF($O$52:$O$64,Lister!$D$32,L52:L64)-SUMIFS(L52:L64,$O$52:$O$64,Lister!$D$31,$A$52:$A$64,Lister!$M$9)-SUMIFS(L52:L64,$O$52:$O$64,Lister!$D$32,$A$52:$A$64,Lister!$M$9)</f>
        <v>0</v>
      </c>
      <c r="AC87" s="147">
        <f t="shared" si="128"/>
        <v>0</v>
      </c>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row>
    <row r="88" spans="1:62" s="9" customFormat="1" ht="14.25" customHeight="1" x14ac:dyDescent="0.2">
      <c r="N88" s="70"/>
      <c r="O88" s="85"/>
      <c r="P88" s="85"/>
      <c r="Q88" s="158" t="s">
        <v>78</v>
      </c>
      <c r="R88" s="327">
        <f t="shared" si="127"/>
        <v>0</v>
      </c>
      <c r="S88" s="328">
        <f>+S87+S86</f>
        <v>0</v>
      </c>
      <c r="T88" s="346">
        <f t="shared" ref="T88:Z88" si="132">+T87+T86</f>
        <v>0</v>
      </c>
      <c r="U88" s="346">
        <f t="shared" si="132"/>
        <v>0</v>
      </c>
      <c r="V88" s="346">
        <f t="shared" si="132"/>
        <v>0</v>
      </c>
      <c r="W88" s="346">
        <f t="shared" si="132"/>
        <v>0</v>
      </c>
      <c r="X88" s="347">
        <f t="shared" si="132"/>
        <v>0</v>
      </c>
      <c r="Y88" s="155">
        <f t="shared" si="132"/>
        <v>0</v>
      </c>
      <c r="Z88" s="154">
        <f t="shared" si="132"/>
        <v>0</v>
      </c>
      <c r="AA88" s="154">
        <f t="shared" ref="AA88:AB88" si="133">+AA87+AA86</f>
        <v>0</v>
      </c>
      <c r="AB88" s="154">
        <f t="shared" si="133"/>
        <v>0</v>
      </c>
      <c r="AC88" s="147">
        <f t="shared" si="128"/>
        <v>0</v>
      </c>
      <c r="AF88" s="71"/>
      <c r="AG88" s="71"/>
      <c r="AH88" s="71"/>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row>
    <row r="89" spans="1:62" s="9" customFormat="1" ht="14.25" customHeight="1" x14ac:dyDescent="0.2">
      <c r="N89" s="79"/>
      <c r="O89" s="90"/>
      <c r="P89" s="90"/>
      <c r="Q89" s="159" t="s">
        <v>0</v>
      </c>
      <c r="R89" s="327">
        <f t="shared" si="127"/>
        <v>0</v>
      </c>
      <c r="S89" s="162">
        <f>IF(C12=2,S86*C6/100,IF($G$6=Lister!$D$4,(S86*$C$6)/100,IF($G$6=Lister!$D$5,(S88*$C$6)/100,IF($G$6=Lister!$D$6,((S88-SUMIFS(C52:C64,$O$52:$O$64,Lister!$D$31,$A$52:$A$64,Lister!$M$10)-SUMIFS(C52:C64,$O$52:$O$64,Lister!$D$32,$A$52:$A$64,Lister!$M$10))*$C$6)/100,IF($G$6=Lister!$D$7,(S87*$C$6)/100,0)))))</f>
        <v>0</v>
      </c>
      <c r="T89" s="340">
        <f>IF(D12=2,T86*D6/100,IF($G$6=Lister!$D$4,(T86*$C$6)/100,IF($G$6=Lister!$D$5,(T88*$C$6)/100,IF($G$6=Lister!$D$6,((T88-SUMIFS(D52:D64,$O$52:$O$64,Lister!$D$31,$A$52:$A$64,Lister!$M$10)-SUMIFS(D52:D64,$O$52:$O$64,Lister!$D$32,$A$52:$A$64,Lister!$M$10))*$C$6)/100,IF($G$6=Lister!$D$7,(T87*$C$6)/100,0)))))</f>
        <v>0</v>
      </c>
      <c r="U89" s="340">
        <f>IF(E12=2,U86*E6/100,IF($G$6=Lister!$D$4,(U86*$C$6)/100,IF($G$6=Lister!$D$5,(U88*$C$6)/100,IF($G$6=Lister!$D$6,((U88-SUMIFS(E52:E64,$O$52:$O$64,Lister!$D$31,$A$52:$A$64,Lister!$M$10)-SUMIFS(E52:E64,$O$52:$O$64,Lister!$D$32,$A$52:$A$64,Lister!$M$10))*$C$6)/100,IF($G$6=Lister!$D$7,(U87*$C$6)/100,0)))))</f>
        <v>0</v>
      </c>
      <c r="V89" s="340">
        <f>IF(F12=2,V86*F6/100,IF($G$6=Lister!$D$4,(V86*$C$6)/100,IF($G$6=Lister!$D$5,(V88*$C$6)/100,IF($G$6=Lister!$D$6,((V88-SUMIFS(F52:F64,$O$52:$O$64,Lister!$D$31,$A$52:$A$64,Lister!$M$10)-SUMIFS(F52:F64,$O$52:$O$64,Lister!$D$32,$A$52:$A$64,Lister!$M$10))*$C$6)/100,IF($G$6=Lister!$D$7,(V87*$C$6)/100,0)))))</f>
        <v>0</v>
      </c>
      <c r="W89" s="340">
        <f>IF(G12=2,W86*G6/100,IF($G$6=Lister!$D$4,(W86*$C$6)/100,IF($G$6=Lister!$D$5,(W88*$C$6)/100,IF($G$6=Lister!$D$6,((W88-SUMIFS(G52:G64,$O$52:$O$64,Lister!$D$31,$A$52:$A$64,Lister!$M$10)-SUMIFS(G52:G64,$O$52:$O$64,Lister!$D$32,$A$52:$A$64,Lister!$M$10))*$C$6)/100,IF($G$6=Lister!$D$7,(W87*$C$6)/100,0)))))</f>
        <v>0</v>
      </c>
      <c r="X89" s="341">
        <f>IF(H12=2,X86*H6/100,IF($G$6=Lister!$D$4,(X86*$C$6)/100,IF($G$6=Lister!$D$5,(X88*$C$6)/100,IF($G$6=Lister!$D$6,((X88-SUMIFS(H52:H64,$O$52:$O$64,Lister!$D$31,$A$52:$A$64,Lister!$M$10)-SUMIFS(H52:H64,$O$52:$O$64,Lister!$D$32,$A$52:$A$64,Lister!$M$10))*$C$6)/100,IF($G$6=Lister!$D$7,(X87*$C$6)/100,0)))))</f>
        <v>0</v>
      </c>
      <c r="Y89" s="216">
        <f>IF(I12=2,Y86*I6/100,IF($G$6=Lister!$D$4,(Y86*$C$6)/100,IF($G$6=Lister!$D$5,(Y88*$C$6)/100,IF($G$6=Lister!$D$6,((Y88-SUMIFS(I52:I64,$O$52:$O$64,Lister!$D$31,$A$52:$A$64,Lister!$M$10)-SUMIFS(I52:I64,$O$52:$O$64,Lister!$D$32,$A$52:$A$64,Lister!$M$10))*$C$6)/100,IF($G$6=Lister!$D$7,(Y87*$C$6)/100,0)))))</f>
        <v>0</v>
      </c>
      <c r="Z89" s="215">
        <f>IF(J12=2,Z86*J6/100,IF($G$6=Lister!$D$4,(Z86*$C$6)/100,IF($G$6=Lister!$D$5,(Z88*$C$6)/100,IF($G$6=Lister!$D$6,((Z88-SUMIFS(J52:J64,$O$52:$O$64,Lister!$D$31,$A$52:$A$64,Lister!$M$10)-SUMIFS(J52:J64,$O$52:$O$64,Lister!$D$32,$A$52:$A$64,Lister!$M$10))*$C$6)/100,IF($G$6=Lister!$D$7,(Z87*$C$6)/100,0)))))</f>
        <v>0</v>
      </c>
      <c r="AA89" s="215">
        <f>IF(K12=2,AA86*K6/100,IF($G$6=Lister!$D$4,(AA86*$C$6)/100,IF($G$6=Lister!$D$5,(AA88*$C$6)/100,IF($G$6=Lister!$D$6,((AA88-SUMIFS(K52:K64,$O$52:$O$64,Lister!$D$31,$A$52:$A$64,Lister!$M$10)-SUMIFS(K52:K64,$O$52:$O$64,Lister!$D$32,$A$52:$A$64,Lister!$M$10))*$C$6)/100,IF($G$6=Lister!$D$7,(AA87*$C$6)/100,0)))))</f>
        <v>0</v>
      </c>
      <c r="AB89" s="215">
        <f>IF(L12=2,AB86*L6/100,IF($G$6=Lister!$D$4,(AB86*$C$6)/100,IF($G$6=Lister!$D$5,(AB88*$C$6)/100,IF($G$6=Lister!$D$6,((AB88-SUMIFS(L52:L64,$O$52:$O$64,Lister!$D$31,$A$52:$A$64,Lister!$M$10)-SUMIFS(L52:L64,$O$52:$O$64,Lister!$D$32,$A$52:$A$64,Lister!$M$10))*$C$6)/100,IF($G$6=Lister!$D$7,(AB87*$C$6)/100,0)))))</f>
        <v>0</v>
      </c>
      <c r="AC89" s="147">
        <f t="shared" si="128"/>
        <v>0</v>
      </c>
      <c r="AF89" s="71"/>
      <c r="AG89" s="71"/>
      <c r="AH89" s="71"/>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row>
    <row r="90" spans="1:62" s="9" customFormat="1" ht="14.25" customHeight="1" x14ac:dyDescent="0.2">
      <c r="N90" s="71"/>
      <c r="O90" s="87"/>
      <c r="P90" s="87"/>
      <c r="Q90" s="160" t="s">
        <v>103</v>
      </c>
      <c r="R90" s="327">
        <f t="shared" si="127"/>
        <v>0</v>
      </c>
      <c r="S90" s="162">
        <f>+IF($C$8=Lister!$O$5,(SUMIF($O$20:$O$29,Lister!D31,C20:C29)+SUMIF($O$20:$O$29,Lister!D32,C20:C29))*Takstblad!C$81,0)</f>
        <v>0</v>
      </c>
      <c r="T90" s="162">
        <f>+IF($C$8=Lister!$O$5,(SUMIF($O$20:$O$29,Lister!E29,D20:D29)+SUMIF($O$20:$O$29,Lister!E30,D20:D29))*Takstblad!D$81,0)</f>
        <v>0</v>
      </c>
      <c r="U90" s="162">
        <f>+IF($C$8=Lister!$O$5,(SUMIF($O$20:$O$29,Lister!F29,E20:E29)+SUMIF($O$20:$O$29,Lister!F30,E20:E29))*Takstblad!E$81,0)</f>
        <v>0</v>
      </c>
      <c r="V90" s="162">
        <f>+IF($C$8=Lister!$O$5,(SUMIF($O$20:$O$29,Lister!G29,F20:F29)+SUMIF($O$20:$O$29,Lister!G30,F20:F29))*Takstblad!F$81,0)</f>
        <v>0</v>
      </c>
      <c r="W90" s="162">
        <f>+IF($C$8=Lister!$O$5,(SUMIF($O$20:$O$29,Lister!H29,G20:G29)+SUMIF($O$20:$O$29,Lister!H30,G20:G29))*Takstblad!G$81,0)</f>
        <v>0</v>
      </c>
      <c r="X90" s="315">
        <f>+IF($C$8=Lister!$O$5,(SUMIF($O$20:$O$29,Lister!I29,H20:H29)+SUMIF($O$20:$O$29,Lister!I30,H20:H29))*Takstblad!H$81,0)</f>
        <v>0</v>
      </c>
      <c r="Y90" s="119">
        <f>+IF($C$8=Lister!$O$5,(SUMIF($O$20:$O$29,Lister!J29,I20:I29)+SUMIF($O$20:$O$29,Lister!J30,I20:I29))*Takstblad!I$81,0)</f>
        <v>0</v>
      </c>
      <c r="Z90" s="21">
        <f>+IF($C$8=Lister!$O$5,(SUMIF($O$20:$O$29,Lister!K29,J20:J29)+SUMIF($O$20:$O$29,Lister!K30,J20:J29))*Takstblad!J$81,0)</f>
        <v>0</v>
      </c>
      <c r="AA90" s="21">
        <f>+IF($C$8=Lister!$O$5,(SUMIF($O$20:$O$29,Lister!L29,K20:K29)+SUMIF($O$20:$O$29,Lister!L30,K20:K29))*Takstblad!K$81,0)</f>
        <v>0</v>
      </c>
      <c r="AB90" s="21">
        <f>+IF($C$8=Lister!$O$5,(SUMIF($O$20:$O$29,Lister!M29,L20:L29)+SUMIF($O$20:$O$29,Lister!M30,L20:L29))*Takstblad!L$81,0)</f>
        <v>0</v>
      </c>
      <c r="AC90" s="147">
        <f t="shared" si="128"/>
        <v>0</v>
      </c>
      <c r="AF90" s="70"/>
      <c r="AG90" s="70"/>
      <c r="AH90" s="70"/>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row>
    <row r="91" spans="1:62" s="9" customFormat="1" ht="14.25" customHeight="1" x14ac:dyDescent="0.2">
      <c r="N91" s="71"/>
      <c r="O91" s="87"/>
      <c r="P91" s="87"/>
      <c r="Q91" s="160" t="s">
        <v>108</v>
      </c>
      <c r="R91" s="327">
        <f t="shared" si="127"/>
        <v>0</v>
      </c>
      <c r="S91" s="162"/>
      <c r="T91" s="164"/>
      <c r="U91" s="164"/>
      <c r="V91" s="164"/>
      <c r="W91" s="164"/>
      <c r="X91" s="323"/>
      <c r="Y91" s="123"/>
      <c r="Z91" s="124"/>
      <c r="AA91" s="124"/>
      <c r="AB91" s="124"/>
      <c r="AC91" s="147">
        <f t="shared" si="128"/>
        <v>0</v>
      </c>
      <c r="AF91" s="79"/>
      <c r="AG91" s="79"/>
      <c r="AH91" s="79"/>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row>
    <row r="92" spans="1:62" s="9" customFormat="1" ht="14.25" customHeight="1" x14ac:dyDescent="0.2">
      <c r="N92" s="71"/>
      <c r="O92" s="87"/>
      <c r="P92" s="87"/>
      <c r="Q92" s="159" t="s">
        <v>545</v>
      </c>
      <c r="R92" s="327">
        <f t="shared" si="127"/>
        <v>0</v>
      </c>
      <c r="S92" s="162" t="str">
        <f>IF($C$12=2,(SUM(S88:S91)*$C$13)/100,"0")</f>
        <v>0</v>
      </c>
      <c r="T92" s="164" t="str">
        <f t="shared" ref="T92:Z92" si="134">IF($C$12=2,(SUM(T88:T91)*$C$13)/100,"0")</f>
        <v>0</v>
      </c>
      <c r="U92" s="164" t="str">
        <f t="shared" si="134"/>
        <v>0</v>
      </c>
      <c r="V92" s="164" t="str">
        <f t="shared" si="134"/>
        <v>0</v>
      </c>
      <c r="W92" s="164" t="str">
        <f t="shared" si="134"/>
        <v>0</v>
      </c>
      <c r="X92" s="323" t="str">
        <f t="shared" si="134"/>
        <v>0</v>
      </c>
      <c r="Y92" s="165" t="str">
        <f t="shared" si="134"/>
        <v>0</v>
      </c>
      <c r="Z92" s="164" t="str">
        <f t="shared" si="134"/>
        <v>0</v>
      </c>
      <c r="AA92" s="164" t="str">
        <f t="shared" ref="AA92:AB92" si="135">IF($C$12=2,(SUM(AA88:AA91)*$C$13)/100,"0")</f>
        <v>0</v>
      </c>
      <c r="AB92" s="164" t="str">
        <f t="shared" si="135"/>
        <v>0</v>
      </c>
      <c r="AC92" s="147">
        <f t="shared" si="128"/>
        <v>0</v>
      </c>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row>
    <row r="93" spans="1:62" s="9" customFormat="1" ht="14.25" customHeight="1" x14ac:dyDescent="0.2">
      <c r="N93" s="71"/>
      <c r="O93" s="87"/>
      <c r="P93" s="87"/>
      <c r="Q93" s="158" t="s">
        <v>101</v>
      </c>
      <c r="R93" s="327">
        <f t="shared" si="127"/>
        <v>0</v>
      </c>
      <c r="S93" s="328">
        <f>+SUM(S88:S92)</f>
        <v>0</v>
      </c>
      <c r="T93" s="328">
        <f t="shared" ref="T93:Z93" si="136">+SUM(T88:T92)</f>
        <v>0</v>
      </c>
      <c r="U93" s="328">
        <f t="shared" si="136"/>
        <v>0</v>
      </c>
      <c r="V93" s="328">
        <f t="shared" si="136"/>
        <v>0</v>
      </c>
      <c r="W93" s="328">
        <f t="shared" si="136"/>
        <v>0</v>
      </c>
      <c r="X93" s="329">
        <f t="shared" si="136"/>
        <v>0</v>
      </c>
      <c r="Y93" s="311">
        <f t="shared" si="136"/>
        <v>0</v>
      </c>
      <c r="Z93" s="146">
        <f t="shared" si="136"/>
        <v>0</v>
      </c>
      <c r="AA93" s="146">
        <f t="shared" ref="AA93:AB93" si="137">+SUM(AA88:AA92)</f>
        <v>0</v>
      </c>
      <c r="AB93" s="146">
        <f t="shared" si="137"/>
        <v>0</v>
      </c>
      <c r="AC93" s="147">
        <f t="shared" si="128"/>
        <v>0</v>
      </c>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238"/>
      <c r="R94" s="239"/>
      <c r="S94" s="23"/>
      <c r="X94" s="239"/>
      <c r="AC94" s="239"/>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5">
      <c r="N95" s="71"/>
      <c r="O95" s="87"/>
      <c r="P95" s="87"/>
      <c r="Q95" s="139" t="s">
        <v>152</v>
      </c>
      <c r="R95" s="140"/>
      <c r="S95" s="241"/>
      <c r="T95" s="145"/>
      <c r="U95" s="145"/>
      <c r="V95" s="145"/>
      <c r="W95" s="145"/>
      <c r="X95" s="320"/>
      <c r="Y95" s="145"/>
      <c r="Z95" s="145"/>
      <c r="AA95" s="145"/>
      <c r="AB95" s="145"/>
      <c r="AC95" s="140"/>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s="9" customFormat="1" ht="14.25" customHeight="1" x14ac:dyDescent="0.25">
      <c r="N96" s="71"/>
      <c r="O96" s="87"/>
      <c r="P96" s="87"/>
      <c r="Q96" s="143"/>
      <c r="R96" s="142"/>
      <c r="S96" s="16"/>
      <c r="T96" s="76"/>
      <c r="U96" s="76"/>
      <c r="V96" s="76"/>
      <c r="W96" s="76"/>
      <c r="X96" s="142"/>
      <c r="Y96" s="76"/>
      <c r="Z96" s="76"/>
      <c r="AA96" s="76"/>
      <c r="AB96" s="76"/>
      <c r="AC96" s="142"/>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9" customFormat="1" ht="14.25" customHeight="1" x14ac:dyDescent="0.2">
      <c r="N97" s="71"/>
      <c r="O97" s="87"/>
      <c r="P97" s="87"/>
      <c r="Q97" s="161" t="s">
        <v>22</v>
      </c>
      <c r="R97" s="133" t="s">
        <v>34</v>
      </c>
      <c r="S97" s="45">
        <f>+S83</f>
        <v>2025</v>
      </c>
      <c r="T97" s="8">
        <f t="shared" ref="T97:Z97" si="138">+T83</f>
        <v>2026</v>
      </c>
      <c r="U97" s="8">
        <f t="shared" si="138"/>
        <v>2027</v>
      </c>
      <c r="V97" s="8">
        <f t="shared" si="138"/>
        <v>2028</v>
      </c>
      <c r="W97" s="8">
        <f t="shared" si="138"/>
        <v>2029</v>
      </c>
      <c r="X97" s="133">
        <f t="shared" si="138"/>
        <v>2030</v>
      </c>
      <c r="Y97" s="8">
        <f t="shared" si="138"/>
        <v>2031</v>
      </c>
      <c r="Z97" s="8">
        <f t="shared" si="138"/>
        <v>2032</v>
      </c>
      <c r="AA97" s="8">
        <f t="shared" ref="AA97:AB97" si="139">+AA83</f>
        <v>2033</v>
      </c>
      <c r="AB97" s="8">
        <f t="shared" si="139"/>
        <v>2034</v>
      </c>
      <c r="AC97" s="133" t="s">
        <v>34</v>
      </c>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1"/>
      <c r="O98" s="87"/>
      <c r="P98" s="87"/>
      <c r="Q98" s="156" t="s">
        <v>74</v>
      </c>
      <c r="R98" s="330">
        <f t="shared" ref="R98:R107" si="140">+AC98</f>
        <v>0</v>
      </c>
      <c r="S98" s="331">
        <f>+SUMIF($O$20:$O$29,Lister!$D$30,S$20:S$29)</f>
        <v>0</v>
      </c>
      <c r="T98" s="334">
        <f>+SUMIF($O$20:$O$29,Lister!$D$30,T$20:T$29)</f>
        <v>0</v>
      </c>
      <c r="U98" s="331">
        <f>+SUMIF($O$20:$O$29,Lister!$D$30,U$20:U$29)</f>
        <v>0</v>
      </c>
      <c r="V98" s="334">
        <f>+SUMIF($O$20:$O$29,Lister!$D$30,V$20:V$29)</f>
        <v>0</v>
      </c>
      <c r="W98" s="331">
        <f>+SUMIF($O$20:$O$29,Lister!$D$30,W$20:W$29)</f>
        <v>0</v>
      </c>
      <c r="X98" s="335">
        <f>+SUMIF($O$20:$O$29,Lister!$D$30,X$20:X$29)</f>
        <v>0</v>
      </c>
      <c r="Y98" s="309">
        <f>+SUMIF($O$20:$O$29,Lister!$D$30,Y$20:Y$29)</f>
        <v>0</v>
      </c>
      <c r="Z98" s="28">
        <f>+SUMIF($O$20:$O$29,Lister!$D$30,Z$20:Z$29)</f>
        <v>0</v>
      </c>
      <c r="AA98" s="28">
        <f>+SUMIF($O$20:$O$29,Lister!$D$30,AA$20:AA$29)</f>
        <v>0</v>
      </c>
      <c r="AB98" s="28">
        <f>+SUMIF($O$20:$O$29,Lister!$D$30,AB$20:AB$29)</f>
        <v>0</v>
      </c>
      <c r="AC98" s="149">
        <f>SUM(S98:AB98)</f>
        <v>0</v>
      </c>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row>
    <row r="99" spans="14:62" s="9" customFormat="1" ht="14.25" customHeight="1" x14ac:dyDescent="0.2">
      <c r="N99" s="71"/>
      <c r="O99" s="87"/>
      <c r="P99" s="87"/>
      <c r="Q99" s="157" t="s">
        <v>75</v>
      </c>
      <c r="R99" s="324">
        <f t="shared" si="140"/>
        <v>0</v>
      </c>
      <c r="S99" s="325">
        <f>+SUMIF($O$33:$O$45,Lister!$D$30,S$33:S$45)</f>
        <v>0</v>
      </c>
      <c r="T99" s="336">
        <f>+SUMIF($O$33:$O$45,Lister!$D$30,T$33:T$45)</f>
        <v>0</v>
      </c>
      <c r="U99" s="325">
        <f>+SUMIF($O$33:$O$45,Lister!$D$30,U$33:U$45)</f>
        <v>0</v>
      </c>
      <c r="V99" s="336">
        <f>+SUMIF($O$33:$O$45,Lister!$D$30,V$33:V$45)</f>
        <v>0</v>
      </c>
      <c r="W99" s="325">
        <f>+SUMIF($O$33:$O$45,Lister!$D$30,W$33:W$45)</f>
        <v>0</v>
      </c>
      <c r="X99" s="337">
        <f>+SUMIF($O$33:$O$45,Lister!$D$30,X$33:X$45)</f>
        <v>0</v>
      </c>
      <c r="Y99" s="310">
        <f>+SUMIF($O$33:$O$45,Lister!$D$30,Y$33:Y$45)</f>
        <v>0</v>
      </c>
      <c r="Z99" s="122">
        <f>+SUMIF($O$33:$O$45,Lister!$D$30,Z$33:Z$45)</f>
        <v>0</v>
      </c>
      <c r="AA99" s="122">
        <f>+SUMIF($O$33:$O$45,Lister!$D$30,AA$33:AA$45)</f>
        <v>0</v>
      </c>
      <c r="AB99" s="122">
        <f>+SUMIF($O$33:$O$45,Lister!$D$30,AB$33:AB$45)</f>
        <v>0</v>
      </c>
      <c r="AC99" s="150">
        <f t="shared" ref="AC99:AC107" si="141">SUM(S99:AB99)</f>
        <v>0</v>
      </c>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row>
    <row r="100" spans="14:62" s="9" customFormat="1" ht="14.25" customHeight="1" x14ac:dyDescent="0.2">
      <c r="N100" s="71"/>
      <c r="O100" s="87"/>
      <c r="P100" s="87"/>
      <c r="Q100" s="158" t="s">
        <v>76</v>
      </c>
      <c r="R100" s="327">
        <f t="shared" si="140"/>
        <v>0</v>
      </c>
      <c r="S100" s="328">
        <f>+SUM(S98:S99)</f>
        <v>0</v>
      </c>
      <c r="T100" s="328">
        <f t="shared" ref="T100:Z100" si="142">+SUM(T98:T99)</f>
        <v>0</v>
      </c>
      <c r="U100" s="328">
        <f t="shared" si="142"/>
        <v>0</v>
      </c>
      <c r="V100" s="328">
        <f t="shared" si="142"/>
        <v>0</v>
      </c>
      <c r="W100" s="328">
        <f t="shared" si="142"/>
        <v>0</v>
      </c>
      <c r="X100" s="329">
        <f t="shared" si="142"/>
        <v>0</v>
      </c>
      <c r="Y100" s="151">
        <f t="shared" si="142"/>
        <v>0</v>
      </c>
      <c r="Z100" s="146">
        <f t="shared" si="142"/>
        <v>0</v>
      </c>
      <c r="AA100" s="146">
        <f t="shared" ref="AA100:AB100" si="143">+SUM(AA98:AA99)</f>
        <v>0</v>
      </c>
      <c r="AB100" s="146">
        <f t="shared" si="143"/>
        <v>0</v>
      </c>
      <c r="AC100" s="147">
        <f t="shared" si="141"/>
        <v>0</v>
      </c>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58" t="s">
        <v>77</v>
      </c>
      <c r="R101" s="327">
        <f t="shared" si="140"/>
        <v>0</v>
      </c>
      <c r="S101" s="328">
        <f>+SUMIF($O$52:$O$64,Lister!$D$30,C$52:C$64)</f>
        <v>0</v>
      </c>
      <c r="T101" s="344">
        <f>+SUMIF($O$52:$O$64,Lister!$D$30,D$52:D$64)</f>
        <v>0</v>
      </c>
      <c r="U101" s="344">
        <f>+SUMIF($O$52:$O$64,Lister!$D$30,E$52:E$64)</f>
        <v>0</v>
      </c>
      <c r="V101" s="344">
        <f>+SUMIF($O$52:$O$64,Lister!$D$30,F$52:F$64)</f>
        <v>0</v>
      </c>
      <c r="W101" s="344">
        <f>+SUMIF($O$52:$O$64,Lister!$D$30,G$52:G$64)</f>
        <v>0</v>
      </c>
      <c r="X101" s="345">
        <f>+SUMIF($O$52:$O$64,Lister!$D$30,H$52:H$64)</f>
        <v>0</v>
      </c>
      <c r="Y101" s="220">
        <f>+SUMIF($O$52:$O$64,Lister!$D$30,I$52:I$64)</f>
        <v>0</v>
      </c>
      <c r="Z101" s="219">
        <f>+SUMIF($O$52:$O$64,Lister!$D$30,J$52:J$64)</f>
        <v>0</v>
      </c>
      <c r="AA101" s="219">
        <f>+SUMIF($O$52:$O$64,Lister!$D$30,K$52:K$64)</f>
        <v>0</v>
      </c>
      <c r="AB101" s="219">
        <f>+SUMIF($O$52:$O$64,Lister!$D$30,L$52:L$64)</f>
        <v>0</v>
      </c>
      <c r="AC101" s="147">
        <f t="shared" si="141"/>
        <v>0</v>
      </c>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8" t="s">
        <v>78</v>
      </c>
      <c r="R102" s="327">
        <f t="shared" si="140"/>
        <v>0</v>
      </c>
      <c r="S102" s="328">
        <f>+S101+S100</f>
        <v>0</v>
      </c>
      <c r="T102" s="346">
        <f t="shared" ref="T102:Z102" si="144">+T101+T100</f>
        <v>0</v>
      </c>
      <c r="U102" s="346">
        <f t="shared" si="144"/>
        <v>0</v>
      </c>
      <c r="V102" s="346">
        <f t="shared" si="144"/>
        <v>0</v>
      </c>
      <c r="W102" s="346">
        <f t="shared" si="144"/>
        <v>0</v>
      </c>
      <c r="X102" s="347">
        <f t="shared" si="144"/>
        <v>0</v>
      </c>
      <c r="Y102" s="155">
        <f t="shared" si="144"/>
        <v>0</v>
      </c>
      <c r="Z102" s="154">
        <f t="shared" si="144"/>
        <v>0</v>
      </c>
      <c r="AA102" s="154">
        <f t="shared" ref="AA102:AB102" si="145">+AA101+AA100</f>
        <v>0</v>
      </c>
      <c r="AB102" s="154">
        <f t="shared" si="145"/>
        <v>0</v>
      </c>
      <c r="AC102" s="147">
        <f t="shared" si="141"/>
        <v>0</v>
      </c>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15" customFormat="1" ht="14.25" customHeight="1" x14ac:dyDescent="0.2">
      <c r="N103" s="71"/>
      <c r="O103" s="87"/>
      <c r="P103" s="87"/>
      <c r="Q103" s="159" t="s">
        <v>0</v>
      </c>
      <c r="R103" s="327">
        <f t="shared" si="140"/>
        <v>0</v>
      </c>
      <c r="S103" s="162">
        <f>IF(C12=2,S100*C6/100,IF($G$6=Lister!$D$4,(S100*$C$6)/100,IF($G$6=Lister!$D$5,(S102*$C$6)/100,IF($G$6=Lister!$D$6,((S102-SUMIFS(C52:C64,$O$52:$O$64,Lister!$D$30,$A$52:$A$64,Lister!$M$10))*$C$6)/100,IF($G$6=Lister!$D$7,(S101*$C$6)/100,0)))))</f>
        <v>0</v>
      </c>
      <c r="T103" s="340">
        <f>IF(D12=2,T100*D6/100,IF($G$6=Lister!$D$4,(T100*$C$6)/100,IF($G$6=Lister!$D$5,(T102*$C$6)/100,IF($G$6=Lister!$D$6,((T102-SUMIFS(D52:D64,$O$52:$O$64,Lister!$D$30,$A$52:$A$64,Lister!$M$10))*$C$6)/100,IF($G$6=Lister!$D$7,(T101*$C$6)/100,0)))))</f>
        <v>0</v>
      </c>
      <c r="U103" s="340">
        <f>IF(E12=2,U100*E6/100,IF($G$6=Lister!$D$4,(U100*$C$6)/100,IF($G$6=Lister!$D$5,(U102*$C$6)/100,IF($G$6=Lister!$D$6,((U102-SUMIFS(E52:E64,$O$52:$O$64,Lister!$D$30,$A$52:$A$64,Lister!$M$10))*$C$6)/100,IF($G$6=Lister!$D$7,(U101*$C$6)/100,0)))))</f>
        <v>0</v>
      </c>
      <c r="V103" s="340">
        <f>IF(F12=2,V100*F6/100,IF($G$6=Lister!$D$4,(V100*$C$6)/100,IF($G$6=Lister!$D$5,(V102*$C$6)/100,IF($G$6=Lister!$D$6,((V102-SUMIFS(F52:F64,$O$52:$O$64,Lister!$D$30,$A$52:$A$64,Lister!$M$10))*$C$6)/100,IF($G$6=Lister!$D$7,(V101*$C$6)/100,0)))))</f>
        <v>0</v>
      </c>
      <c r="W103" s="340">
        <f>IF(G12=2,W100*G6/100,IF($G$6=Lister!$D$4,(W100*$C$6)/100,IF($G$6=Lister!$D$5,(W102*$C$6)/100,IF($G$6=Lister!$D$6,((W102-SUMIFS(G52:G64,$O$52:$O$64,Lister!$D$30,$A$52:$A$64,Lister!$M$10))*$C$6)/100,IF($G$6=Lister!$D$7,(W101*$C$6)/100,0)))))</f>
        <v>0</v>
      </c>
      <c r="X103" s="341">
        <f>IF(H12=2,X100*H6/100,IF($G$6=Lister!$D$4,(X100*$C$6)/100,IF($G$6=Lister!$D$5,(X102*$C$6)/100,IF($G$6=Lister!$D$6,((X102-SUMIFS(H52:H64,$O$52:$O$64,Lister!$D$30,$A$52:$A$64,Lister!$M$10))*$C$6)/100,IF($G$6=Lister!$D$7,(X101*$C$6)/100,0)))))</f>
        <v>0</v>
      </c>
      <c r="Y103" s="216">
        <f>IF(I12=2,Y100*I6/100,IF($G$6=Lister!$D$4,(Y100*$C$6)/100,IF($G$6=Lister!$D$5,(Y102*$C$6)/100,IF($G$6=Lister!$D$6,((Y102-SUMIFS(I52:I64,$O$52:$O$64,Lister!$D$30,$A$52:$A$64,Lister!$M$10))*$C$6)/100,IF($G$6=Lister!$D$7,(Y101*$C$6)/100,0)))))</f>
        <v>0</v>
      </c>
      <c r="Z103" s="215">
        <f>IF(J12=2,Z100*J6/100,IF($G$6=Lister!$D$4,(Z100*$C$6)/100,IF($G$6=Lister!$D$5,(Z102*$C$6)/100,IF($G$6=Lister!$D$6,((Z102-SUMIFS(J52:J64,$O$52:$O$64,Lister!$D$30,$A$52:$A$64,Lister!$M$10))*$C$6)/100,IF($G$6=Lister!$D$7,(Z101*$C$6)/100,0)))))</f>
        <v>0</v>
      </c>
      <c r="AA103" s="215">
        <f>IF(K12=2,AA100*K6/100,IF($G$6=Lister!$D$4,(AA100*$C$6)/100,IF($G$6=Lister!$D$5,(AA102*$C$6)/100,IF($G$6=Lister!$D$6,((AA102-SUMIFS(K52:K64,$O$52:$O$64,Lister!$D$30,$A$52:$A$64,Lister!$M$10))*$C$6)/100,IF($G$6=Lister!$D$7,(AA101*$C$6)/100,0)))))</f>
        <v>0</v>
      </c>
      <c r="AB103" s="215">
        <f>IF(L12=2,AB100*L6/100,IF($G$6=Lister!$D$4,(AB100*$C$6)/100,IF($G$6=Lister!$D$5,(AB102*$C$6)/100,IF($G$6=Lister!$D$6,((AB102-SUMIFS(L52:L64,$O$52:$O$64,Lister!$D$30,$A$52:$A$64,Lister!$M$10))*$C$6)/100,IF($G$6=Lister!$D$7,(AB101*$C$6)/100,0)))))</f>
        <v>0</v>
      </c>
      <c r="AC103" s="147">
        <f t="shared" si="141"/>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160" t="s">
        <v>103</v>
      </c>
      <c r="R104" s="327">
        <f t="shared" si="140"/>
        <v>0</v>
      </c>
      <c r="S104" s="162">
        <f>+IF($C$8=Lister!$O$5,(SUMIF($O$20:$O$29,Lister!$D$30,C20:C29))*Takstblad!C$81,0)</f>
        <v>0</v>
      </c>
      <c r="T104" s="162">
        <f>+IF($C$8=Lister!$O$5,(SUMIF($O$20:$O$29,Lister!$D$30,D20:D29))*Takstblad!D$81,0)</f>
        <v>0</v>
      </c>
      <c r="U104" s="162">
        <f>+IF($C$8=Lister!$O$5,(SUMIF($O$20:$O$29,Lister!$D$30,E20:E29))*Takstblad!E$81,0)</f>
        <v>0</v>
      </c>
      <c r="V104" s="162">
        <f>+IF($C$8=Lister!$O$5,(SUMIF($O$20:$O$29,Lister!$D$30,F20:F29))*Takstblad!F$81,0)</f>
        <v>0</v>
      </c>
      <c r="W104" s="162">
        <f>+IF($C$8=Lister!$O$5,(SUMIF($O$20:$O$29,Lister!$D$30,G20:G29))*Takstblad!G$81,0)</f>
        <v>0</v>
      </c>
      <c r="X104" s="315">
        <f>+IF($C$8=Lister!$O$5,(SUMIF($O$20:$O$29,Lister!$D$30,H20:H29))*Takstblad!H$81,0)</f>
        <v>0</v>
      </c>
      <c r="Y104" s="312">
        <f>+IF($C$8=Lister!$O$5,(SUMIF($O$20:$O$29,Lister!$D$30,I20:I29))*Takstblad!I$81,0)</f>
        <v>0</v>
      </c>
      <c r="Z104" s="21">
        <f>+IF($C$8=Lister!$O$5,(SUMIF($O$20:$O$29,Lister!$D$30,J20:J29))*Takstblad!J$81,0)</f>
        <v>0</v>
      </c>
      <c r="AA104" s="21">
        <f>+IF($C$8=Lister!$O$5,(SUMIF($O$20:$O$29,Lister!$D$30,K20:K29))*Takstblad!K$81,0)</f>
        <v>0</v>
      </c>
      <c r="AB104" s="21">
        <f>+IF($C$8=Lister!$O$5,(SUMIF($O$20:$O$29,Lister!$D$30,L20:L29))*Takstblad!L$81,0)</f>
        <v>0</v>
      </c>
      <c r="AC104" s="147">
        <f t="shared" si="141"/>
        <v>0</v>
      </c>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ht="14.25" customHeight="1" x14ac:dyDescent="0.2">
      <c r="N105" s="82"/>
      <c r="O105" s="93"/>
      <c r="P105" s="93"/>
      <c r="Q105" s="160" t="s">
        <v>108</v>
      </c>
      <c r="R105" s="327">
        <f t="shared" si="140"/>
        <v>0</v>
      </c>
      <c r="S10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12)*Takstblad!C$82,0)</f>
        <v>0</v>
      </c>
      <c r="T10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12)*Takstblad!D$82,0)</f>
        <v>0</v>
      </c>
      <c r="U10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12)*Takstblad!E$82,0)</f>
        <v>0</v>
      </c>
      <c r="V10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12)*Takstblad!F$82,0)</f>
        <v>0</v>
      </c>
      <c r="W10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12)*Takstblad!G$82,0)</f>
        <v>0</v>
      </c>
      <c r="X105"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12)*Takstblad!H$82,0)</f>
        <v>0</v>
      </c>
      <c r="Y10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12)*Takstblad!I$82,0)</f>
        <v>0</v>
      </c>
      <c r="Z10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12)*Takstblad!J$82,0)</f>
        <v>0</v>
      </c>
      <c r="AA10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12)*Takstblad!K$82,0)</f>
        <v>0</v>
      </c>
      <c r="AB10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12)*Takstblad!L$82,0)</f>
        <v>0</v>
      </c>
      <c r="AC105" s="147">
        <f t="shared" si="141"/>
        <v>0</v>
      </c>
      <c r="AD105" s="71"/>
      <c r="AE105" s="71"/>
      <c r="AF105" s="71"/>
      <c r="AG105" s="71"/>
      <c r="AH105" s="71"/>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row>
    <row r="106" spans="14:62" ht="14.25" customHeight="1" x14ac:dyDescent="0.2">
      <c r="N106" s="71"/>
      <c r="O106" s="87"/>
      <c r="P106" s="87"/>
      <c r="Q106" s="159" t="s">
        <v>545</v>
      </c>
      <c r="R106" s="327">
        <f t="shared" si="140"/>
        <v>0</v>
      </c>
      <c r="S106" s="162" t="str">
        <f>IF($C$12=2,(SUM(S102:S105)*$C$13)/100,"0")</f>
        <v>0</v>
      </c>
      <c r="T106" s="164" t="str">
        <f>IF($C$12=2,(SUM(T102:T105)*$C$13)/100,"0")</f>
        <v>0</v>
      </c>
      <c r="U106" s="164" t="str">
        <f t="shared" ref="U106:Z106" si="146">IF($C$12=2,(SUM(U102:U105)*$C$13)/100,"0")</f>
        <v>0</v>
      </c>
      <c r="V106" s="164" t="str">
        <f t="shared" si="146"/>
        <v>0</v>
      </c>
      <c r="W106" s="164" t="str">
        <f t="shared" si="146"/>
        <v>0</v>
      </c>
      <c r="X106" s="323" t="str">
        <f t="shared" si="146"/>
        <v>0</v>
      </c>
      <c r="Y106" s="165" t="str">
        <f t="shared" si="146"/>
        <v>0</v>
      </c>
      <c r="Z106" s="164" t="str">
        <f t="shared" si="146"/>
        <v>0</v>
      </c>
      <c r="AA106" s="164" t="str">
        <f t="shared" ref="AA106:AB106" si="147">IF($C$12=2,(SUM(AA102:AA105)*$C$13)/100,"0")</f>
        <v>0</v>
      </c>
      <c r="AB106" s="164" t="str">
        <f t="shared" si="147"/>
        <v>0</v>
      </c>
      <c r="AC106" s="147">
        <f t="shared" si="141"/>
        <v>0</v>
      </c>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ht="14.25" customHeight="1" x14ac:dyDescent="0.2">
      <c r="N107" s="70"/>
      <c r="O107" s="85"/>
      <c r="P107" s="85"/>
      <c r="Q107" s="158" t="s">
        <v>101</v>
      </c>
      <c r="R107" s="327">
        <f t="shared" si="140"/>
        <v>0</v>
      </c>
      <c r="S107" s="328">
        <f>+SUM(S102:S106)</f>
        <v>0</v>
      </c>
      <c r="T107" s="328">
        <f t="shared" ref="T107:Z107" si="148">+SUM(T102:T106)</f>
        <v>0</v>
      </c>
      <c r="U107" s="328">
        <f t="shared" si="148"/>
        <v>0</v>
      </c>
      <c r="V107" s="328">
        <f t="shared" si="148"/>
        <v>0</v>
      </c>
      <c r="W107" s="328">
        <f t="shared" si="148"/>
        <v>0</v>
      </c>
      <c r="X107" s="329">
        <f t="shared" si="148"/>
        <v>0</v>
      </c>
      <c r="Y107" s="311">
        <f t="shared" si="148"/>
        <v>0</v>
      </c>
      <c r="Z107" s="146">
        <f t="shared" si="148"/>
        <v>0</v>
      </c>
      <c r="AA107" s="146">
        <f t="shared" ref="AA107:AB107" si="149">+SUM(AA102:AA106)</f>
        <v>0</v>
      </c>
      <c r="AB107" s="146">
        <f t="shared" si="149"/>
        <v>0</v>
      </c>
      <c r="AC107" s="147">
        <f t="shared" si="141"/>
        <v>0</v>
      </c>
      <c r="AD107" s="71"/>
      <c r="AE107" s="82"/>
      <c r="AF107" s="82"/>
      <c r="AG107" s="82"/>
      <c r="AH107" s="82"/>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row>
    <row r="108" spans="14:62" s="9" customFormat="1" ht="14.25" customHeight="1" x14ac:dyDescent="0.2">
      <c r="N108" s="70"/>
      <c r="O108" s="85"/>
      <c r="P108" s="85"/>
      <c r="Q108" s="238"/>
      <c r="R108" s="142"/>
      <c r="S108" s="76"/>
      <c r="T108" s="76"/>
      <c r="U108" s="76"/>
      <c r="V108" s="76"/>
      <c r="W108" s="76"/>
      <c r="X108" s="142"/>
      <c r="Y108" s="76"/>
      <c r="Z108" s="76"/>
      <c r="AA108" s="76"/>
      <c r="AB108" s="76"/>
      <c r="AC108" s="142"/>
      <c r="AD108" s="82"/>
      <c r="AE108" s="71"/>
      <c r="AF108" s="71"/>
      <c r="AG108" s="71"/>
      <c r="AH108" s="71"/>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row>
    <row r="109" spans="14:62" ht="14.25" customHeight="1" x14ac:dyDescent="0.25">
      <c r="N109" s="70"/>
      <c r="O109" s="85"/>
      <c r="P109" s="85"/>
      <c r="Q109" s="139" t="s">
        <v>656</v>
      </c>
      <c r="R109" s="140"/>
      <c r="S109" s="241"/>
      <c r="T109" s="145"/>
      <c r="U109" s="145"/>
      <c r="V109" s="145"/>
      <c r="W109" s="145"/>
      <c r="X109" s="320"/>
      <c r="Y109" s="145"/>
      <c r="Z109" s="145"/>
      <c r="AA109" s="145"/>
      <c r="AB109" s="145"/>
      <c r="AC109" s="140"/>
      <c r="AD109" s="71"/>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row>
    <row r="110" spans="14:62" ht="14.25" customHeight="1" x14ac:dyDescent="0.25">
      <c r="N110" s="9"/>
      <c r="O110" s="9"/>
      <c r="P110" s="9"/>
      <c r="Q110" s="143"/>
      <c r="R110" s="142"/>
      <c r="S110" s="16"/>
      <c r="T110" s="76"/>
      <c r="U110" s="76"/>
      <c r="V110" s="76"/>
      <c r="W110" s="76"/>
      <c r="X110" s="142"/>
      <c r="Y110" s="76"/>
      <c r="Z110" s="76"/>
      <c r="AA110" s="76"/>
      <c r="AB110" s="76"/>
      <c r="AC110" s="142"/>
      <c r="AD110" s="70"/>
      <c r="AE110" s="70"/>
      <c r="AF110" s="70"/>
      <c r="AG110" s="70"/>
      <c r="AH110" s="70"/>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ht="14.25" customHeight="1" x14ac:dyDescent="0.2">
      <c r="Q111" s="161" t="s">
        <v>22</v>
      </c>
      <c r="R111" s="133" t="s">
        <v>34</v>
      </c>
      <c r="S111" s="45">
        <f>+S97</f>
        <v>2025</v>
      </c>
      <c r="T111" s="8">
        <f t="shared" ref="T111:Z111" si="150">+T97</f>
        <v>2026</v>
      </c>
      <c r="U111" s="8">
        <f t="shared" si="150"/>
        <v>2027</v>
      </c>
      <c r="V111" s="8">
        <f t="shared" si="150"/>
        <v>2028</v>
      </c>
      <c r="W111" s="8">
        <f t="shared" si="150"/>
        <v>2029</v>
      </c>
      <c r="X111" s="133">
        <f t="shared" si="150"/>
        <v>2030</v>
      </c>
      <c r="Y111" s="8">
        <f t="shared" si="150"/>
        <v>2031</v>
      </c>
      <c r="Z111" s="8">
        <f t="shared" si="150"/>
        <v>2032</v>
      </c>
      <c r="AA111" s="8">
        <f t="shared" ref="AA111:AB111" si="151">+AA97</f>
        <v>2033</v>
      </c>
      <c r="AB111" s="8">
        <f t="shared" si="151"/>
        <v>2034</v>
      </c>
      <c r="AC111" s="133" t="s">
        <v>34</v>
      </c>
      <c r="AD111" s="70"/>
      <c r="AE111" s="70"/>
      <c r="AF111" s="70"/>
      <c r="AG111" s="70"/>
      <c r="AH111" s="70"/>
    </row>
    <row r="112" spans="14:62" ht="14.25" customHeight="1" x14ac:dyDescent="0.2">
      <c r="Q112" s="156" t="s">
        <v>74</v>
      </c>
      <c r="R112" s="330">
        <f t="shared" ref="R112:R121" si="152">+AC112</f>
        <v>0</v>
      </c>
      <c r="S112" s="331">
        <f>+SUMIF($O$20:$O$29,Lister!$D$31,S$20:S$29)</f>
        <v>0</v>
      </c>
      <c r="T112" s="334">
        <f>+SUMIF($O$20:$O$29,Lister!$D$31,T$20:T$29)</f>
        <v>0</v>
      </c>
      <c r="U112" s="331">
        <f>+SUMIF($O$20:$O$29,Lister!$D$31,U$20:U$29)</f>
        <v>0</v>
      </c>
      <c r="V112" s="334">
        <f>+SUMIF($O$20:$O$29,Lister!$D$31,V$20:V$29)</f>
        <v>0</v>
      </c>
      <c r="W112" s="331">
        <f>+SUMIF($O$20:$O$29,Lister!$D$31,W$20:W$29)</f>
        <v>0</v>
      </c>
      <c r="X112" s="335">
        <f>+SUMIF($O$20:$O$29,Lister!$D$31,X$20:X$29)</f>
        <v>0</v>
      </c>
      <c r="Y112" s="309">
        <f>+SUMIF($O$20:$O$29,Lister!$D$31,Y$20:Y$29)</f>
        <v>0</v>
      </c>
      <c r="Z112" s="28">
        <f>+SUMIF($O$20:$O$29,Lister!$D$31,Z$20:Z$29)</f>
        <v>0</v>
      </c>
      <c r="AA112" s="28">
        <f>+SUMIF($O$20:$O$29,Lister!$D$31,AA$20:AA$29)</f>
        <v>0</v>
      </c>
      <c r="AB112" s="28">
        <f>+SUMIF($O$20:$O$29,Lister!$D$31,AB$20:AB$29)</f>
        <v>0</v>
      </c>
      <c r="AC112" s="149">
        <f>SUM(S112:Z112)</f>
        <v>0</v>
      </c>
      <c r="AD112" s="70"/>
      <c r="AE112" s="71"/>
      <c r="AF112" s="71"/>
      <c r="AG112" s="71"/>
      <c r="AH112" s="71"/>
    </row>
    <row r="113" spans="17:30" ht="14.25" customHeight="1" x14ac:dyDescent="0.2">
      <c r="Q113" s="157" t="s">
        <v>75</v>
      </c>
      <c r="R113" s="324">
        <f t="shared" si="152"/>
        <v>0</v>
      </c>
      <c r="S113" s="325">
        <f>+SUMIF($O$33:$O$45,Lister!$D$31,S$33:S$45)</f>
        <v>0</v>
      </c>
      <c r="T113" s="336">
        <f>+SUMIF($O$33:$O$45,Lister!$D$31,T$33:T$45)</f>
        <v>0</v>
      </c>
      <c r="U113" s="325">
        <f>+SUMIF($O$33:$O$45,Lister!$D$31,U$33:U$45)</f>
        <v>0</v>
      </c>
      <c r="V113" s="336">
        <f>+SUMIF($O$33:$O$45,Lister!$D$31,V$33:V$45)</f>
        <v>0</v>
      </c>
      <c r="W113" s="325">
        <f>+SUMIF($O$33:$O$45,Lister!$D$31,W$33:W$45)</f>
        <v>0</v>
      </c>
      <c r="X113" s="337">
        <f>+SUMIF($O$33:$O$45,Lister!$D$31,X$33:X$45)</f>
        <v>0</v>
      </c>
      <c r="Y113" s="310">
        <f>+SUMIF($O$33:$O$45,Lister!$D$31,Y$33:Y$45)</f>
        <v>0</v>
      </c>
      <c r="Z113" s="122">
        <f>+SUMIF($O$33:$O$45,Lister!$D$31,Z$33:Z$45)</f>
        <v>0</v>
      </c>
      <c r="AA113" s="122">
        <f>+SUMIF($O$33:$O$45,Lister!$D$31,AA$33:AA$45)</f>
        <v>0</v>
      </c>
      <c r="AB113" s="122">
        <f>+SUMIF($O$33:$O$45,Lister!$D$31,AB$33:AB$45)</f>
        <v>0</v>
      </c>
      <c r="AC113" s="150">
        <f t="shared" ref="AC113:AC116" si="153">SUM(S113:Z113)</f>
        <v>0</v>
      </c>
      <c r="AD113" s="71"/>
    </row>
    <row r="114" spans="17:30" ht="14.25" customHeight="1" x14ac:dyDescent="0.2">
      <c r="Q114" s="158" t="s">
        <v>76</v>
      </c>
      <c r="R114" s="327">
        <f t="shared" si="152"/>
        <v>0</v>
      </c>
      <c r="S114" s="328">
        <f>+S113+S112</f>
        <v>0</v>
      </c>
      <c r="T114" s="328">
        <f t="shared" ref="T114:Z114" si="154">+T113+T112</f>
        <v>0</v>
      </c>
      <c r="U114" s="328">
        <f t="shared" si="154"/>
        <v>0</v>
      </c>
      <c r="V114" s="328">
        <f t="shared" si="154"/>
        <v>0</v>
      </c>
      <c r="W114" s="328">
        <f t="shared" si="154"/>
        <v>0</v>
      </c>
      <c r="X114" s="329">
        <f t="shared" si="154"/>
        <v>0</v>
      </c>
      <c r="Y114" s="311">
        <f t="shared" si="154"/>
        <v>0</v>
      </c>
      <c r="Z114" s="146">
        <f t="shared" si="154"/>
        <v>0</v>
      </c>
      <c r="AA114" s="146">
        <f t="shared" ref="AA114:AB114" si="155">+AA113+AA112</f>
        <v>0</v>
      </c>
      <c r="AB114" s="146">
        <f t="shared" si="155"/>
        <v>0</v>
      </c>
      <c r="AC114" s="147">
        <f t="shared" si="153"/>
        <v>0</v>
      </c>
    </row>
    <row r="115" spans="17:30" ht="14.25" customHeight="1" x14ac:dyDescent="0.2">
      <c r="Q115" s="158" t="s">
        <v>77</v>
      </c>
      <c r="R115" s="327">
        <f t="shared" si="152"/>
        <v>0</v>
      </c>
      <c r="S115" s="328">
        <f>+SUMIF($O$52:$O$64,Lister!$D$31,C$52:C$64)</f>
        <v>0</v>
      </c>
      <c r="T115" s="344">
        <f>+SUMIF($O$52:$O$64,Lister!$D$31,D$52:D$64)</f>
        <v>0</v>
      </c>
      <c r="U115" s="344">
        <f>+SUMIF($O$52:$O$64,Lister!$D$31,E$52:E$64)</f>
        <v>0</v>
      </c>
      <c r="V115" s="344">
        <f>+SUMIF($O$52:$O$64,Lister!$D$31,F$52:F$64)</f>
        <v>0</v>
      </c>
      <c r="W115" s="344">
        <f>+SUMIF($O$52:$O$64,Lister!$D$31,G$52:G$64)</f>
        <v>0</v>
      </c>
      <c r="X115" s="345">
        <f>+SUMIF($O$52:$O$64,Lister!$D$31,H$52:H$64)</f>
        <v>0</v>
      </c>
      <c r="Y115" s="220">
        <f>+SUMIF($O$52:$O$64,Lister!$D$31,I$52:I$64)</f>
        <v>0</v>
      </c>
      <c r="Z115" s="219">
        <f>+SUMIF($O$52:$O$64,Lister!$D$31,J$52:J$64)</f>
        <v>0</v>
      </c>
      <c r="AA115" s="219">
        <f>+SUMIF($O$52:$O$64,Lister!$D$31,K$52:K$64)</f>
        <v>0</v>
      </c>
      <c r="AB115" s="219">
        <f>+SUMIF($O$52:$O$64,Lister!$D$31,L$52:L$64)</f>
        <v>0</v>
      </c>
      <c r="AC115" s="147">
        <f t="shared" si="153"/>
        <v>0</v>
      </c>
    </row>
    <row r="116" spans="17:30" ht="14.25" customHeight="1" x14ac:dyDescent="0.2">
      <c r="Q116" s="158" t="s">
        <v>78</v>
      </c>
      <c r="R116" s="327">
        <f t="shared" si="152"/>
        <v>0</v>
      </c>
      <c r="S116" s="328">
        <f>+S115+S114</f>
        <v>0</v>
      </c>
      <c r="T116" s="346">
        <f t="shared" ref="T116:Z116" si="156">+T115+T114</f>
        <v>0</v>
      </c>
      <c r="U116" s="346">
        <f t="shared" si="156"/>
        <v>0</v>
      </c>
      <c r="V116" s="346">
        <f t="shared" si="156"/>
        <v>0</v>
      </c>
      <c r="W116" s="346">
        <f t="shared" si="156"/>
        <v>0</v>
      </c>
      <c r="X116" s="347">
        <f t="shared" si="156"/>
        <v>0</v>
      </c>
      <c r="Y116" s="155">
        <f t="shared" si="156"/>
        <v>0</v>
      </c>
      <c r="Z116" s="154">
        <f t="shared" si="156"/>
        <v>0</v>
      </c>
      <c r="AA116" s="154">
        <f t="shared" ref="AA116:AB116" si="157">+AA115+AA114</f>
        <v>0</v>
      </c>
      <c r="AB116" s="154">
        <f t="shared" si="157"/>
        <v>0</v>
      </c>
      <c r="AC116" s="147">
        <f t="shared" si="153"/>
        <v>0</v>
      </c>
    </row>
    <row r="117" spans="17:30" ht="14.25" customHeight="1" x14ac:dyDescent="0.2">
      <c r="Q117" s="159" t="s">
        <v>0</v>
      </c>
      <c r="R117" s="327">
        <f t="shared" si="152"/>
        <v>0</v>
      </c>
      <c r="S117" s="162">
        <f>IF(C12=2,S114*C6/100,IF($G$6=Lister!$D$4,(S114*$C$6)/100,IF($G$6=Lister!$D$5,(S116*$C$6)/100,IF($G$6=Lister!$D$6,((S116-SUMIFS(C52:C64,$O$52:$O$64,Lister!$D$31,$A$52:$A$64,Lister!$M$10))*$C$6)/100,IF($G$6=Lister!$D$7,(S115*$C$6)/100,0)))))</f>
        <v>0</v>
      </c>
      <c r="T117" s="340">
        <f>IF(D12=2,T114*D6/100,IF($G$6=Lister!$D$4,(T114*$C$6)/100,IF($G$6=Lister!$D$5,(T116*$C$6)/100,IF($G$6=Lister!$D$6,((T116-SUMIFS(D52:D64,$O$52:$O$64,Lister!$D$31,$A$52:$A$64,Lister!$M$10))*$C$6)/100,IF($G$6=Lister!$D$7,(T115*$C$6)/100,0)))))</f>
        <v>0</v>
      </c>
      <c r="U117" s="340">
        <f>IF(E12=2,U114*E6/100,IF($G$6=Lister!$D$4,(U114*$C$6)/100,IF($G$6=Lister!$D$5,(U116*$C$6)/100,IF($G$6=Lister!$D$6,((U116-SUMIFS(E52:E64,$O$52:$O$64,Lister!$D$31,$A$52:$A$64,Lister!$M$10))*$C$6)/100,IF($G$6=Lister!$D$7,(U115*$C$6)/100,0)))))</f>
        <v>0</v>
      </c>
      <c r="V117" s="340">
        <f>IF(F12=2,V114*F6/100,IF($G$6=Lister!$D$4,(V114*$C$6)/100,IF($G$6=Lister!$D$5,(V116*$C$6)/100,IF($G$6=Lister!$D$6,((V116-SUMIFS(F52:F64,$O$52:$O$64,Lister!$D$31,$A$52:$A$64,Lister!$M$10))*$C$6)/100,IF($G$6=Lister!$D$7,(V115*$C$6)/100,0)))))</f>
        <v>0</v>
      </c>
      <c r="W117" s="340">
        <f>IF(G12=2,W114*G6/100,IF($G$6=Lister!$D$4,(W114*$C$6)/100,IF($G$6=Lister!$D$5,(W116*$C$6)/100,IF($G$6=Lister!$D$6,((W116-SUMIFS(G52:G64,$O$52:$O$64,Lister!$D$31,$A$52:$A$64,Lister!$M$10))*$C$6)/100,IF($G$6=Lister!$D$7,(W115*$C$6)/100,0)))))</f>
        <v>0</v>
      </c>
      <c r="X117" s="341">
        <f>IF(H12=2,X114*H6/100,IF($G$6=Lister!$D$4,(X114*$C$6)/100,IF($G$6=Lister!$D$5,(X116*$C$6)/100,IF($G$6=Lister!$D$6,((X116-SUMIFS(H52:H64,$O$52:$O$64,Lister!$D$31,$A$52:$A$64,Lister!$M$10))*$C$6)/100,IF($G$6=Lister!$D$7,(X115*$C$6)/100,0)))))</f>
        <v>0</v>
      </c>
      <c r="Y117" s="216">
        <f>IF(I12=2,Y114*I6/100,IF($G$6=Lister!$D$4,(Y114*$C$6)/100,IF($G$6=Lister!$D$5,(Y116*$C$6)/100,IF($G$6=Lister!$D$6,((Y116-SUMIFS(I52:I64,$O$52:$O$64,Lister!$D$31,$A$52:$A$64,Lister!$M$10))*$C$6)/100,IF($G$6=Lister!$D$7,(Y115*$C$6)/100,0)))))</f>
        <v>0</v>
      </c>
      <c r="Z117" s="215">
        <f>IF(J12=2,Z114*J6/100,IF($G$6=Lister!$D$4,(Z114*$C$6)/100,IF($G$6=Lister!$D$5,(Z116*$C$6)/100,IF($G$6=Lister!$D$6,((Z116-SUMIFS(J52:J64,$O$52:$O$64,Lister!$D$31,$A$52:$A$64,Lister!$M$10))*$C$6)/100,IF($G$6=Lister!$D$7,(Z115*$C$6)/100,0)))))</f>
        <v>0</v>
      </c>
      <c r="AA117" s="215">
        <f>IF(K12=2,AA114*K6/100,IF($G$6=Lister!$D$4,(AA114*$C$6)/100,IF($G$6=Lister!$D$5,(AA116*$C$6)/100,IF($G$6=Lister!$D$6,((AA116-SUMIFS(K52:K64,$O$52:$O$64,Lister!$D$31,$A$52:$A$64,Lister!$M$10))*$C$6)/100,IF($G$6=Lister!$D$7,(AA115*$C$6)/100,0)))))</f>
        <v>0</v>
      </c>
      <c r="AB117" s="215">
        <f>IF(L12=2,AB114*L6/100,IF($G$6=Lister!$D$4,(AB114*$C$6)/100,IF($G$6=Lister!$D$5,(AB116*$C$6)/100,IF($G$6=Lister!$D$6,((AB116-SUMIFS(L52:L64,$O$52:$O$64,Lister!$D$31,$A$52:$A$64,Lister!$M$10))*$C$6)/100,IF($G$6=Lister!$D$7,(AB115*$C$6)/100,0)))))</f>
        <v>0</v>
      </c>
      <c r="AC117" s="147">
        <f>SUM(S117:Z117)</f>
        <v>0</v>
      </c>
    </row>
    <row r="118" spans="17:30" ht="14.25" customHeight="1" x14ac:dyDescent="0.2">
      <c r="Q118" s="160" t="s">
        <v>103</v>
      </c>
      <c r="R118" s="327">
        <f t="shared" si="152"/>
        <v>0</v>
      </c>
      <c r="S118" s="162">
        <f>+IF($C$8=Lister!$O$5,(SUMIF($O$20:$O$29,Lister!$D$31,C20:C29))*Takstblad!C$81,0)</f>
        <v>0</v>
      </c>
      <c r="T118" s="162">
        <f>+IF($C$8=Lister!$O$5,(SUMIF($O$20:$O$29,Lister!$D$31,D20:D29))*Takstblad!D$81,0)</f>
        <v>0</v>
      </c>
      <c r="U118" s="162">
        <f>+IF($C$8=Lister!$O$5,(SUMIF($O$20:$O$29,Lister!$D$31,E20:E29))*Takstblad!E$81,0)</f>
        <v>0</v>
      </c>
      <c r="V118" s="162">
        <f>+IF($C$8=Lister!$O$5,(SUMIF($O$20:$O$29,Lister!$D$31,F20:F29))*Takstblad!F$81,0)</f>
        <v>0</v>
      </c>
      <c r="W118" s="162">
        <f>+IF($C$8=Lister!$O$5,(SUMIF($O$20:$O$29,Lister!$D$31,G20:G29))*Takstblad!G$81,0)</f>
        <v>0</v>
      </c>
      <c r="X118" s="315">
        <f>+IF($C$8=Lister!$O$5,(SUMIF($O$20:$O$29,Lister!$D$31,H20:H29))*Takstblad!H$81,0)</f>
        <v>0</v>
      </c>
      <c r="Y118" s="312">
        <f>+IF($C$8=Lister!$O$5,(SUMIF($O$20:$O$29,Lister!$D$31,I20:I29))*Takstblad!I$81,0)</f>
        <v>0</v>
      </c>
      <c r="Z118" s="21">
        <f>+IF($C$8=Lister!$O$5,(SUMIF($O$20:$O$29,Lister!$D$31,J20:J29))*Takstblad!J$81,0)</f>
        <v>0</v>
      </c>
      <c r="AA118" s="21">
        <f>+IF($C$8=Lister!$O$5,(SUMIF($O$20:$O$29,Lister!$D$31,K20:K29))*Takstblad!K$81,0)</f>
        <v>0</v>
      </c>
      <c r="AB118" s="21">
        <f>+IF($C$8=Lister!$O$5,(SUMIF($O$20:$O$29,Lister!$D$31,L20:L29))*Takstblad!L$81,0)</f>
        <v>0</v>
      </c>
      <c r="AC118" s="147">
        <f t="shared" ref="AC118:AC121" si="158">SUM(S118:Z118)</f>
        <v>0</v>
      </c>
    </row>
    <row r="119" spans="17:30" ht="14.25" customHeight="1" x14ac:dyDescent="0.2">
      <c r="Q119" s="160" t="s">
        <v>108</v>
      </c>
      <c r="R119" s="327">
        <f t="shared" si="152"/>
        <v>0</v>
      </c>
      <c r="S119" s="162"/>
      <c r="T119" s="164"/>
      <c r="U119" s="164"/>
      <c r="V119" s="164"/>
      <c r="W119" s="164"/>
      <c r="X119" s="323"/>
      <c r="Y119" s="123"/>
      <c r="Z119" s="124"/>
      <c r="AA119" s="124"/>
      <c r="AB119" s="124"/>
      <c r="AC119" s="147">
        <f t="shared" si="158"/>
        <v>0</v>
      </c>
    </row>
    <row r="120" spans="17:30" ht="14.25" customHeight="1" x14ac:dyDescent="0.2">
      <c r="Q120" s="159" t="s">
        <v>545</v>
      </c>
      <c r="R120" s="327">
        <f t="shared" si="152"/>
        <v>0</v>
      </c>
      <c r="S120" s="162" t="str">
        <f>IF($C$12=2,(SUM(S116:S119)*$C$13)/100,"0")</f>
        <v>0</v>
      </c>
      <c r="T120" s="164" t="str">
        <f t="shared" ref="T120:Z120" si="159">IF($C$12=2,(SUM(T116:T119)*$C$13)/100,"0")</f>
        <v>0</v>
      </c>
      <c r="U120" s="164" t="str">
        <f t="shared" si="159"/>
        <v>0</v>
      </c>
      <c r="V120" s="164" t="str">
        <f t="shared" si="159"/>
        <v>0</v>
      </c>
      <c r="W120" s="164" t="str">
        <f t="shared" si="159"/>
        <v>0</v>
      </c>
      <c r="X120" s="323" t="str">
        <f t="shared" si="159"/>
        <v>0</v>
      </c>
      <c r="Y120" s="165" t="str">
        <f t="shared" si="159"/>
        <v>0</v>
      </c>
      <c r="Z120" s="164" t="str">
        <f t="shared" si="159"/>
        <v>0</v>
      </c>
      <c r="AA120" s="164" t="str">
        <f t="shared" ref="AA120:AB120" si="160">IF($C$12=2,(SUM(AA116:AA119)*$C$13)/100,"0")</f>
        <v>0</v>
      </c>
      <c r="AB120" s="164" t="str">
        <f t="shared" si="160"/>
        <v>0</v>
      </c>
      <c r="AC120" s="147">
        <f t="shared" si="158"/>
        <v>0</v>
      </c>
    </row>
    <row r="121" spans="17:30" ht="14.25" customHeight="1" thickBot="1" x14ac:dyDescent="0.25">
      <c r="Q121" s="318" t="s">
        <v>101</v>
      </c>
      <c r="R121" s="348">
        <f t="shared" si="152"/>
        <v>0</v>
      </c>
      <c r="S121" s="349">
        <f>+SUM(S116:S120)</f>
        <v>0</v>
      </c>
      <c r="T121" s="349">
        <f t="shared" ref="T121:Z121" si="161">+SUM(T116:T120)</f>
        <v>0</v>
      </c>
      <c r="U121" s="349">
        <f t="shared" si="161"/>
        <v>0</v>
      </c>
      <c r="V121" s="349">
        <f t="shared" si="161"/>
        <v>0</v>
      </c>
      <c r="W121" s="349">
        <f t="shared" si="161"/>
        <v>0</v>
      </c>
      <c r="X121" s="350">
        <f t="shared" si="161"/>
        <v>0</v>
      </c>
      <c r="Y121" s="314">
        <f t="shared" si="161"/>
        <v>0</v>
      </c>
      <c r="Z121" s="152">
        <f t="shared" si="161"/>
        <v>0</v>
      </c>
      <c r="AA121" s="152">
        <f t="shared" ref="AA121:AB121" si="162">+SUM(AA116:AA120)</f>
        <v>0</v>
      </c>
      <c r="AB121" s="152">
        <f t="shared" si="162"/>
        <v>0</v>
      </c>
      <c r="AC121" s="153">
        <f t="shared" si="158"/>
        <v>0</v>
      </c>
    </row>
    <row r="122" spans="17:30" x14ac:dyDescent="0.2">
      <c r="Q122" s="7"/>
      <c r="R122" s="7"/>
    </row>
    <row r="123" spans="17:30" x14ac:dyDescent="0.2">
      <c r="Q123" s="7"/>
      <c r="R123" s="7"/>
    </row>
    <row r="124" spans="17:30" x14ac:dyDescent="0.2">
      <c r="Q124" s="7"/>
      <c r="R124" s="7"/>
    </row>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sheetData>
  <mergeCells count="35">
    <mergeCell ref="BF19:BG19"/>
    <mergeCell ref="BF32:BG32"/>
    <mergeCell ref="BI19:BJ19"/>
    <mergeCell ref="BI32:BJ32"/>
    <mergeCell ref="AE32:AF32"/>
    <mergeCell ref="AH32:AI32"/>
    <mergeCell ref="AK32:AL32"/>
    <mergeCell ref="AN32:AO32"/>
    <mergeCell ref="AQ32:AR32"/>
    <mergeCell ref="AZ19:BA19"/>
    <mergeCell ref="AZ32:BA32"/>
    <mergeCell ref="BC19:BD19"/>
    <mergeCell ref="BC32:BD32"/>
    <mergeCell ref="AT19:AU19"/>
    <mergeCell ref="AW19:AX19"/>
    <mergeCell ref="AT32:AU32"/>
    <mergeCell ref="AW32:AX3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3">
    <dataValidation errorStyle="information" allowBlank="1" showInputMessage="1" showErrorMessage="1" sqref="O63:O64" xr:uid="{DCFF126E-E5BC-4E90-B54A-B522C07EB758}"/>
    <dataValidation type="decimal" operator="lessThan" allowBlank="1" showInputMessage="1" showErrorMessage="1" errorTitle="Too High Value" error="Value can't exceed 12 months" sqref="C20:L29 C33:L42" xr:uid="{4E568FDA-A5C1-4C36-A1AF-FB9DFD5FEA6C}">
      <formula1>13</formula1>
    </dataValidation>
    <dataValidation type="date" allowBlank="1" showInputMessage="1" showErrorMessage="1" sqref="H9:I10 D9:D10 C9" xr:uid="{42304569-96E7-4C45-89E1-890F1764CE5A}">
      <formula1>45292</formula1>
      <formula2>73050</formula2>
    </dataValidation>
  </dataValidations>
  <pageMargins left="0.15748031496062992" right="0.23622047244094491" top="0.27559055118110237" bottom="0.19685039370078741" header="0" footer="0"/>
  <pageSetup paperSize="9" scale="55" orientation="landscape" r:id="rId1"/>
  <headerFooter alignWithMargins="0">
    <oddFooter>&amp;R&amp;A
&amp;D</oddFooter>
  </headerFooter>
  <rowBreaks count="1" manualBreakCount="1">
    <brk id="108" max="16383" man="1"/>
  </rowBreak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C00-000000000000}">
          <x14:formula1>
            <xm:f>Takstblad!$A$5:$A$30</xm:f>
          </x14:formula1>
          <xm:sqref>A20:A29 A42</xm:sqref>
        </x14:dataValidation>
        <x14:dataValidation type="list" allowBlank="1" showInputMessage="1" showErrorMessage="1" errorTitle="STOP" error="Du kan kun vælge fra listen" xr:uid="{00000000-0002-0000-0C00-000002000000}">
          <x14:formula1>
            <xm:f>Lister!$I$4:$I$7</xm:f>
          </x14:formula1>
          <xm:sqref>I7</xm:sqref>
        </x14:dataValidation>
        <x14:dataValidation type="list" allowBlank="1" showInputMessage="1" xr:uid="{E8D1C760-2DA7-4AB9-B521-A6984BA89545}">
          <x14:formula1>
            <xm:f>Lister!$O$4:$O$5</xm:f>
          </x14:formula1>
          <xm:sqref>C11</xm:sqref>
        </x14:dataValidation>
        <x14:dataValidation type="list" allowBlank="1" showInputMessage="1" showErrorMessage="1" errorTitle="Information" error="Please choose a department from the list" xr:uid="{00000000-0002-0000-0C00-000004000000}">
          <x14:formula1>
            <xm:f>Lister!$A$4:$A$16</xm:f>
          </x14:formula1>
          <xm:sqref>C2</xm:sqref>
        </x14:dataValidation>
        <x14:dataValidation type="list" allowBlank="1" showInputMessage="1" showErrorMessage="1" xr:uid="{D55A3ACF-907E-441E-BAA6-603BB5CDE2E7}">
          <x14:formula1>
            <xm:f>Lister!$M$4:$M$16</xm:f>
          </x14:formula1>
          <xm:sqref>A52:A62</xm:sqref>
        </x14:dataValidation>
        <x14:dataValidation type="list" allowBlank="1" showInputMessage="1" xr:uid="{00000000-0002-0000-0C00-000008000000}">
          <x14:formula1>
            <xm:f>Lister!$I$21:$I$40</xm:f>
          </x14:formula1>
          <xm:sqref>I5</xm:sqref>
        </x14:dataValidation>
        <x14:dataValidation type="list" errorStyle="warning" allowBlank="1" showInputMessage="1" showErrorMessage="1" errorTitle="Are you sure" error="You are about to select a number of hours that is not on the list. Are you sure you want to continue?" xr:uid="{F601772E-67B7-4B7A-A046-5F64DBAD7201}">
          <x14:formula1>
            <xm:f>Lister!$F$4:$F$10</xm:f>
          </x14:formula1>
          <xm:sqref>C7</xm:sqref>
        </x14:dataValidation>
        <x14:dataValidation type="list" allowBlank="1" showInputMessage="1" showErrorMessage="1" errorTitle="STOP" error="You can only select a value from the list." xr:uid="{467D5D6E-50B1-4D77-AEAB-570BCFBF421B}">
          <x14:formula1>
            <xm:f>Lister!$I$4:$I$7</xm:f>
          </x14:formula1>
          <xm:sqref>G7:H7</xm:sqref>
        </x14:dataValidation>
        <x14:dataValidation type="list" allowBlank="1" showInputMessage="1" showErrorMessage="1" errorTitle="STOP" error="You can only select a value from the list." xr:uid="{1FF9EB8B-98B5-4421-864E-F99EC1CA0959}">
          <x14:formula1>
            <xm:f>Lister!$A$32:$A$33</xm:f>
          </x14:formula1>
          <xm:sqref>H8 H15</xm:sqref>
        </x14:dataValidation>
        <x14:dataValidation type="list" allowBlank="1" showInputMessage="1" showErrorMessage="1" errorTitle="STOP" error="You can only select a value from the list." xr:uid="{49125B3D-F472-43C0-A30D-3960FD88BC7A}">
          <x14:formula1>
            <xm:f>Lister!$A$41:$A$42</xm:f>
          </x14:formula1>
          <xm:sqref>C12</xm:sqref>
        </x14:dataValidation>
        <x14:dataValidation type="list" errorStyle="warning" allowBlank="1" showErrorMessage="1" errorTitle="Are you sure" error="You are about to select an EBIT that is different from 10. Are you sure you want to continue?" xr:uid="{887761D4-1FED-4AE1-8B17-998C401AF58F}">
          <x14:formula1>
            <xm:f>Lister!$A$45:$A$45</xm:f>
          </x14:formula1>
          <xm:sqref>C13</xm:sqref>
        </x14:dataValidation>
        <x14:dataValidation type="list" allowBlank="1" showInputMessage="1" xr:uid="{80EB87ED-49AC-4547-9EB9-B2C3072BAD1D}">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2E3A3B57-F22C-48F4-9628-E85CF3DC4F12}">
          <x14:formula1>
            <xm:f>Lister!$A$32:$A$33</xm:f>
          </x14:formula1>
          <xm:sqref>C14:C16</xm:sqref>
        </x14:dataValidation>
        <x14:dataValidation type="list" allowBlank="1" showInputMessage="1" xr:uid="{A831B03E-CFF9-4B52-978A-2F410EF67350}">
          <x14:formula1>
            <xm:f>Lister!$O$4:$O$6</xm:f>
          </x14:formula1>
          <xm:sqref>C8:D8</xm:sqref>
        </x14:dataValidation>
        <x14:dataValidation type="list" allowBlank="1" showInputMessage="1" showErrorMessage="1" errorTitle="STOP" error="You can only select a value from the list." xr:uid="{BF14486B-2231-45CB-8B64-188867ACFDFB}">
          <x14:formula1>
            <xm:f>Lister!$D$29:$D$32</xm:f>
          </x14:formula1>
          <xm:sqref>O20:P29 O33:P42 O52:P62</xm:sqref>
        </x14:dataValidation>
        <x14:dataValidation type="list" errorStyle="warning" allowBlank="1" showInputMessage="1" showErrorMessage="1" errorTitle="Are you sure" error="You are about to select an overhead rate that is not on the list. Are you sure you want to continue?" xr:uid="{DBDC262A-585E-4AB3-9B3B-BCC345BFEF97}">
          <x14:formula1>
            <xm:f>Lister!$D$37:$D$43</xm:f>
          </x14:formula1>
          <xm:sqref>C6</xm:sqref>
        </x14:dataValidation>
        <x14:dataValidation type="list" allowBlank="1" showInputMessage="1" showErrorMessage="1" errorTitle="STOP" error="You can only select a value from the list." xr:uid="{7A211903-C791-411E-AB1D-15096B3E7DAF}">
          <x14:formula1>
            <xm:f>Lister!$D$4:$D$7</xm:f>
          </x14:formula1>
          <xm:sqref>G6:H6</xm:sqref>
        </x14:dataValidation>
        <x14:dataValidation type="list" allowBlank="1" showInputMessage="1" xr:uid="{617FC91A-9461-4360-818F-F750DDCCEAB1}">
          <x14:formula1>
            <xm:f>Lister!$A$53:$A$54</xm:f>
          </x14:formula1>
          <xm:sqref>C10</xm:sqref>
        </x14:dataValidation>
        <x14:dataValidation type="list" allowBlank="1" showInputMessage="1" showErrorMessage="1" xr:uid="{B5FE51AF-AC68-4263-A5D2-DBC46760AD5B}">
          <x14:formula1>
            <xm:f>Takstblad!$A$33:$A$42</xm:f>
          </x14:formula1>
          <xm:sqref>A33:A41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tabColor theme="8" tint="0.59999389629810485"/>
  </sheetPr>
  <dimension ref="A1:BN142"/>
  <sheetViews>
    <sheetView showGridLines="0" showZeros="0" zoomScale="80" zoomScaleNormal="80" workbookViewId="0">
      <pane xSplit="2" ySplit="17" topLeftCell="C18" activePane="bottomRight" state="frozen"/>
      <selection activeCell="D30" sqref="D30:E30"/>
      <selection pane="topRight" activeCell="D30" sqref="D30:E30"/>
      <selection pane="bottomLeft" activeCell="D30" sqref="D30:E30"/>
      <selection pane="bottomRight" activeCell="C2" sqref="C2"/>
    </sheetView>
  </sheetViews>
  <sheetFormatPr defaultColWidth="16.875" defaultRowHeight="12.75" outlineLevelCol="1" x14ac:dyDescent="0.2"/>
  <cols>
    <col min="1" max="1" width="53.625" style="7" customWidth="1"/>
    <col min="2" max="2" width="11.75" style="7" hidden="1" customWidth="1"/>
    <col min="3" max="8" width="11.75" style="7" customWidth="1"/>
    <col min="9" max="12" width="11.75" style="7" hidden="1" customWidth="1" outlineLevel="1"/>
    <col min="13" max="13" width="39.625" style="7" customWidth="1" collapsed="1"/>
    <col min="14" max="14" width="26.875" style="7" customWidth="1"/>
    <col min="15" max="15" width="32.875" style="7" customWidth="1"/>
    <col min="16" max="16" width="6" style="7" customWidth="1"/>
    <col min="17" max="18" width="25.25" style="6" customWidth="1"/>
    <col min="19" max="24" width="12.75" style="7" customWidth="1"/>
    <col min="25" max="29" width="12.75" style="7" hidden="1" customWidth="1" outlineLevel="1"/>
    <col min="30" max="30" width="4.25" style="7" customWidth="1" collapsed="1"/>
    <col min="31" max="31" width="10.875" style="7" bestFit="1" customWidth="1"/>
    <col min="32" max="32" width="14.875" style="7" bestFit="1" customWidth="1"/>
    <col min="33" max="33" width="1.375" style="7" customWidth="1"/>
    <col min="34" max="34" width="10.875" style="7" bestFit="1" customWidth="1"/>
    <col min="35" max="35" width="14.875" style="7" bestFit="1" customWidth="1"/>
    <col min="36" max="36" width="1.375" style="7" customWidth="1"/>
    <col min="37" max="37" width="10.875" style="7" bestFit="1" customWidth="1"/>
    <col min="38" max="38" width="14.875" style="7" bestFit="1" customWidth="1"/>
    <col min="39" max="39" width="1.375" style="7" customWidth="1"/>
    <col min="40" max="40" width="10.875" style="7" bestFit="1" customWidth="1"/>
    <col min="41" max="41" width="14.875" style="7" bestFit="1" customWidth="1"/>
    <col min="42" max="42" width="1.375" style="7" customWidth="1"/>
    <col min="43" max="43" width="10.875" style="7" bestFit="1" customWidth="1"/>
    <col min="44" max="44" width="14.875" style="7" bestFit="1" customWidth="1"/>
    <col min="45" max="45" width="1.375" style="7" customWidth="1"/>
    <col min="46" max="46" width="10.875" style="7" bestFit="1" customWidth="1"/>
    <col min="47" max="47" width="14.875" style="7" bestFit="1" customWidth="1"/>
    <col min="48" max="48" width="1.375" style="7" customWidth="1"/>
    <col min="49" max="49" width="10.875" style="7" bestFit="1" customWidth="1"/>
    <col min="50" max="50" width="14.875" style="7" bestFit="1" customWidth="1"/>
    <col min="51" max="51" width="1.375" style="7" customWidth="1"/>
    <col min="52" max="52" width="10.875" style="7" hidden="1" customWidth="1" outlineLevel="1"/>
    <col min="53" max="53" width="14.875" style="7" hidden="1" customWidth="1" outlineLevel="1"/>
    <col min="54" max="54" width="1.375" style="7" hidden="1" customWidth="1" outlineLevel="1"/>
    <col min="55" max="55" width="10.875" style="7" hidden="1" customWidth="1" outlineLevel="1"/>
    <col min="56" max="56" width="14.875" style="7" hidden="1" customWidth="1" outlineLevel="1"/>
    <col min="57" max="57" width="1.375" style="7" hidden="1" customWidth="1" outlineLevel="1"/>
    <col min="58" max="58" width="10.875" style="7" hidden="1" customWidth="1" outlineLevel="1"/>
    <col min="59" max="59" width="14.875" style="7" hidden="1" customWidth="1" outlineLevel="1"/>
    <col min="60" max="60" width="1.375" style="7" hidden="1" customWidth="1" outlineLevel="1"/>
    <col min="61" max="61" width="10.875" style="7" hidden="1" customWidth="1" outlineLevel="1"/>
    <col min="62" max="62" width="14.875" style="7" hidden="1" customWidth="1" outlineLevel="1"/>
    <col min="63" max="63" width="16.875" style="7" collapsed="1"/>
    <col min="64" max="16384" width="16.875" style="7"/>
  </cols>
  <sheetData>
    <row r="1" spans="1:62" s="5" customFormat="1" ht="22.15" customHeight="1" x14ac:dyDescent="0.25">
      <c r="A1" s="40" t="s">
        <v>28</v>
      </c>
      <c r="B1" s="7"/>
      <c r="E1" s="359" t="s">
        <v>786</v>
      </c>
      <c r="I1" s="7"/>
      <c r="N1" s="359"/>
      <c r="Q1" s="16"/>
      <c r="R1" s="16"/>
    </row>
    <row r="2" spans="1:62" s="5" customFormat="1" ht="15.6" customHeight="1" x14ac:dyDescent="0.2">
      <c r="A2" s="360" t="s">
        <v>160</v>
      </c>
      <c r="B2" s="7"/>
      <c r="C2" s="291"/>
      <c r="D2" s="359"/>
      <c r="E2" s="359" t="s">
        <v>32</v>
      </c>
      <c r="I2" s="7"/>
      <c r="M2" s="364"/>
      <c r="N2" s="359"/>
      <c r="O2" s="359"/>
      <c r="P2" s="359"/>
      <c r="Q2" s="16"/>
      <c r="R2" s="16"/>
    </row>
    <row r="3" spans="1:62" s="5" customFormat="1" ht="15.6" customHeight="1" thickBot="1" x14ac:dyDescent="0.25">
      <c r="A3" s="360" t="s">
        <v>151</v>
      </c>
      <c r="B3" s="7"/>
      <c r="C3" s="495" t="str">
        <f>+'B1'!C3</f>
        <v>EU Horizon RIA ECE PhD Example</v>
      </c>
      <c r="D3" s="496"/>
      <c r="E3" s="496"/>
      <c r="F3" s="496"/>
      <c r="G3" s="496"/>
      <c r="H3" s="497"/>
      <c r="I3" s="69"/>
      <c r="J3" s="374"/>
      <c r="K3" s="374"/>
      <c r="L3" s="374"/>
      <c r="M3" s="188"/>
      <c r="N3" s="188"/>
      <c r="O3" s="372"/>
      <c r="P3" s="372"/>
      <c r="Q3" s="177"/>
      <c r="R3" s="177"/>
      <c r="S3" s="365"/>
      <c r="T3" s="188"/>
      <c r="U3" s="373"/>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62" s="5" customFormat="1" ht="15.6" customHeight="1" thickBot="1" x14ac:dyDescent="0.25">
      <c r="A4" s="360" t="s">
        <v>792</v>
      </c>
      <c r="B4" s="7"/>
      <c r="C4" s="498" t="str">
        <f>+'B1'!C4</f>
        <v>NN ECE</v>
      </c>
      <c r="D4" s="499"/>
      <c r="E4" s="499"/>
      <c r="F4" s="499"/>
      <c r="G4" s="499"/>
      <c r="H4" s="500"/>
      <c r="I4" s="69"/>
      <c r="J4" s="356"/>
      <c r="K4" s="356"/>
      <c r="L4" s="375"/>
      <c r="M4" s="352" t="s">
        <v>604</v>
      </c>
      <c r="N4" s="353">
        <f>IFERROR((R79-R74+R102-R116)/(R74-R102+R116),0)</f>
        <v>0</v>
      </c>
      <c r="O4" s="372"/>
      <c r="P4" s="372"/>
      <c r="Q4" s="177"/>
      <c r="R4" s="177"/>
      <c r="S4"/>
      <c r="T4" s="188"/>
      <c r="U4" s="373"/>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row>
    <row r="5" spans="1:62" s="5" customFormat="1" ht="15.6" customHeight="1" thickBot="1" x14ac:dyDescent="0.25">
      <c r="A5" s="360" t="s">
        <v>659</v>
      </c>
      <c r="B5" s="7"/>
      <c r="C5" s="498"/>
      <c r="D5" s="499"/>
      <c r="E5" s="499"/>
      <c r="F5" s="499"/>
      <c r="G5" s="499"/>
      <c r="H5" s="500"/>
      <c r="I5" s="69"/>
      <c r="J5" s="356"/>
      <c r="K5" s="356"/>
      <c r="L5" s="376"/>
      <c r="M5" s="354" t="s">
        <v>660</v>
      </c>
      <c r="N5" s="355">
        <f>IFERROR((AC116/AC58),0)</f>
        <v>0</v>
      </c>
      <c r="O5" s="365"/>
      <c r="P5" s="365"/>
      <c r="Q5" s="177"/>
      <c r="R5" s="177"/>
      <c r="S5" s="188"/>
      <c r="T5" s="188"/>
      <c r="U5" s="373"/>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row>
    <row r="6" spans="1:62" s="5" customFormat="1" ht="15.6" customHeight="1" thickBot="1" x14ac:dyDescent="0.3">
      <c r="A6" s="360" t="s">
        <v>29</v>
      </c>
      <c r="B6" s="7"/>
      <c r="C6" s="292">
        <f>IFERROR(IF(C12=Lister!A42,110,IF(C8=Lister!O5,5,VLOOKUP(C5,Lister!I20:O45,5,FALSE))),0)</f>
        <v>0</v>
      </c>
      <c r="D6" s="512" t="s">
        <v>31</v>
      </c>
      <c r="E6" s="513"/>
      <c r="F6" s="513"/>
      <c r="G6" s="516" t="str">
        <f>IFERROR(VLOOKUP(C5,Lister!I19:S45,9,FALSE),"Salary and operations")</f>
        <v>Salary and operations</v>
      </c>
      <c r="H6" s="521"/>
      <c r="I6" s="75"/>
      <c r="J6" s="356"/>
      <c r="K6" s="356"/>
      <c r="L6" s="376"/>
      <c r="M6" s="354" t="s">
        <v>724</v>
      </c>
      <c r="N6" s="355">
        <f>IFERROR(AC93/AC63,0)</f>
        <v>0</v>
      </c>
      <c r="O6" s="365"/>
      <c r="P6" s="365"/>
      <c r="Q6" s="177"/>
      <c r="R6" s="377"/>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row>
    <row r="7" spans="1:62" s="5" customFormat="1" ht="15.6" customHeight="1" x14ac:dyDescent="0.2">
      <c r="A7" s="360" t="s">
        <v>30</v>
      </c>
      <c r="B7" s="7"/>
      <c r="C7" s="292">
        <f>IFERROR(IF(C12=Lister!A42,1460,VLOOKUP(C5,Lister!I20:M45,3,FALSE)),0)</f>
        <v>0</v>
      </c>
      <c r="D7" s="504" t="s">
        <v>803</v>
      </c>
      <c r="E7" s="505"/>
      <c r="F7" s="506"/>
      <c r="G7" s="516" t="str">
        <f>IFERROR(VLOOKUP(C5,Lister!I19:S45,11,FALSE),"Salary and operations")</f>
        <v>Salary and operations</v>
      </c>
      <c r="H7" s="521"/>
      <c r="I7" s="72"/>
      <c r="J7" s="356"/>
      <c r="K7" s="356"/>
      <c r="L7" s="356"/>
      <c r="M7" s="356"/>
      <c r="N7" s="357"/>
      <c r="O7" s="365"/>
      <c r="P7" s="365"/>
      <c r="Q7" s="177"/>
      <c r="R7" s="177"/>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row>
    <row r="8" spans="1:62" s="5" customFormat="1" ht="15.6" customHeight="1" x14ac:dyDescent="0.2">
      <c r="A8" s="4" t="s">
        <v>105</v>
      </c>
      <c r="B8" s="7"/>
      <c r="C8" s="498" t="str">
        <f>IFERROR((VLOOKUP(C5,Lister!I20:O45,7,FALSE)),"None")</f>
        <v>None</v>
      </c>
      <c r="D8" s="500"/>
      <c r="E8" s="4" t="s">
        <v>544</v>
      </c>
      <c r="F8" s="4"/>
      <c r="G8" s="366"/>
      <c r="H8" s="296"/>
      <c r="I8" s="69"/>
      <c r="J8" s="374"/>
      <c r="K8" s="374"/>
      <c r="L8" s="374"/>
      <c r="M8" s="4"/>
      <c r="N8" s="365"/>
      <c r="O8" s="365"/>
      <c r="P8" s="365"/>
      <c r="Q8" s="177"/>
      <c r="R8" s="177"/>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row>
    <row r="9" spans="1:62" s="5" customFormat="1" ht="15.6" customHeight="1" thickBot="1" x14ac:dyDescent="0.25">
      <c r="A9" s="361" t="s">
        <v>1137</v>
      </c>
      <c r="B9" s="232"/>
      <c r="C9" s="351">
        <f>+'B1'!C9</f>
        <v>0</v>
      </c>
      <c r="D9" s="367"/>
      <c r="E9" s="361"/>
      <c r="F9" s="361"/>
      <c r="G9" s="369" t="s">
        <v>1138</v>
      </c>
      <c r="H9" s="351">
        <f>+'B1'!H9</f>
        <v>0</v>
      </c>
      <c r="I9" s="271"/>
      <c r="J9" s="374"/>
      <c r="K9" s="374"/>
      <c r="L9" s="374"/>
      <c r="M9" s="365"/>
      <c r="N9" s="365"/>
      <c r="O9" s="365"/>
      <c r="P9" s="365"/>
      <c r="Q9" s="177"/>
      <c r="R9" s="177"/>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row>
    <row r="10" spans="1:62" s="5" customFormat="1" ht="15.6" customHeight="1" thickBot="1" x14ac:dyDescent="0.25">
      <c r="A10" s="4" t="s">
        <v>1325</v>
      </c>
      <c r="B10" s="232"/>
      <c r="C10" s="293" t="str">
        <f>+IF(C2="FOOD","Yes","No")</f>
        <v>No</v>
      </c>
      <c r="D10" s="368"/>
      <c r="E10" s="361"/>
      <c r="F10" s="361"/>
      <c r="G10" s="369"/>
      <c r="H10" s="370"/>
      <c r="I10" s="117"/>
      <c r="J10" s="374"/>
      <c r="K10" s="374"/>
      <c r="L10" s="374"/>
      <c r="M10" s="371"/>
      <c r="N10" s="365"/>
      <c r="O10" s="365"/>
      <c r="P10" s="365"/>
      <c r="Q10" s="177"/>
      <c r="R10" s="177"/>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row>
    <row r="11" spans="1:62" s="1" customFormat="1" ht="19.149999999999999" customHeight="1" thickBot="1" x14ac:dyDescent="0.3">
      <c r="A11" s="362" t="s">
        <v>1313</v>
      </c>
      <c r="B11" s="273"/>
      <c r="C11" s="397"/>
      <c r="D11" s="398"/>
      <c r="E11" s="398"/>
      <c r="F11" s="398"/>
      <c r="G11" s="399"/>
      <c r="H11" s="399"/>
      <c r="I11" s="274"/>
      <c r="J11" s="379"/>
      <c r="K11" s="379"/>
      <c r="L11" s="379"/>
      <c r="M11" s="380"/>
      <c r="N11" s="380"/>
      <c r="O11" s="381"/>
      <c r="P11" s="382"/>
      <c r="Q11" s="383"/>
      <c r="R11" s="38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row>
    <row r="12" spans="1:62" s="5" customFormat="1" ht="15.6" customHeight="1" x14ac:dyDescent="0.2">
      <c r="A12" s="116" t="s">
        <v>804</v>
      </c>
      <c r="B12" s="7"/>
      <c r="C12" s="294"/>
      <c r="D12" s="505"/>
      <c r="E12" s="505"/>
      <c r="F12" s="505"/>
      <c r="G12" s="505"/>
      <c r="H12" s="400"/>
      <c r="I12" s="69"/>
      <c r="J12" s="518"/>
      <c r="K12" s="519"/>
      <c r="L12" s="519"/>
      <c r="M12" s="519"/>
      <c r="N12" s="519"/>
      <c r="O12" s="520"/>
      <c r="P12" s="384"/>
      <c r="Q12" s="177"/>
      <c r="R12" s="177"/>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row>
    <row r="13" spans="1:62" s="5" customFormat="1" ht="15.6" customHeight="1" x14ac:dyDescent="0.2">
      <c r="A13" s="116" t="s">
        <v>545</v>
      </c>
      <c r="B13" s="7"/>
      <c r="C13" s="295">
        <f>+IF(C12=2,10,0)</f>
        <v>0</v>
      </c>
      <c r="D13" s="504"/>
      <c r="E13" s="505"/>
      <c r="F13" s="505"/>
      <c r="G13" s="505"/>
      <c r="H13" s="401"/>
      <c r="I13" s="86"/>
      <c r="J13" s="404"/>
      <c r="K13" s="404"/>
      <c r="L13" s="404"/>
      <c r="M13" s="404"/>
      <c r="N13" s="404"/>
      <c r="O13" s="405"/>
      <c r="P13" s="404"/>
      <c r="Q13" s="388"/>
      <c r="R13" s="388"/>
      <c r="S13" s="388" t="s">
        <v>657</v>
      </c>
      <c r="T13" s="388"/>
      <c r="U13" s="388"/>
      <c r="V13" s="388"/>
      <c r="W13" s="388"/>
      <c r="X13" s="3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row>
    <row r="14" spans="1:62" s="5" customFormat="1" ht="29.25" customHeight="1" x14ac:dyDescent="0.2">
      <c r="A14" s="4" t="s">
        <v>547</v>
      </c>
      <c r="B14" s="9"/>
      <c r="C14" s="295"/>
      <c r="D14" s="507" t="s">
        <v>765</v>
      </c>
      <c r="E14" s="508"/>
      <c r="F14" s="508"/>
      <c r="G14" s="508"/>
      <c r="H14" s="509"/>
      <c r="I14" s="297"/>
      <c r="J14" s="389"/>
      <c r="K14" s="390"/>
      <c r="L14" s="404"/>
      <c r="M14" s="404"/>
      <c r="N14" s="404"/>
      <c r="O14" s="405"/>
      <c r="P14" s="404"/>
      <c r="Q14" s="388"/>
      <c r="R14" s="388"/>
      <c r="S14" s="388"/>
      <c r="T14" s="388"/>
      <c r="U14" s="388"/>
      <c r="V14" s="388"/>
      <c r="W14" s="388"/>
      <c r="X14" s="3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row>
    <row r="15" spans="1:62" s="5" customFormat="1" ht="15.6" customHeight="1" x14ac:dyDescent="0.2">
      <c r="A15" s="116" t="s">
        <v>548</v>
      </c>
      <c r="B15" s="7"/>
      <c r="C15" s="295"/>
      <c r="D15" s="403"/>
      <c r="E15" s="391"/>
      <c r="F15" s="391"/>
      <c r="G15" s="391"/>
      <c r="H15" s="391"/>
      <c r="I15" s="261"/>
      <c r="J15" s="391"/>
      <c r="K15" s="391"/>
      <c r="L15" s="384"/>
      <c r="M15" s="404"/>
      <c r="N15" s="404"/>
      <c r="O15" s="405"/>
      <c r="P15" s="404"/>
      <c r="Q15" s="388"/>
      <c r="R15" s="388"/>
      <c r="S15" s="388"/>
      <c r="T15" s="388"/>
      <c r="U15" s="388"/>
      <c r="V15" s="388"/>
      <c r="W15" s="388"/>
      <c r="X15" s="3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row>
    <row r="16" spans="1:62" s="5" customFormat="1" ht="27" customHeight="1" x14ac:dyDescent="0.25">
      <c r="A16" s="116" t="s">
        <v>805</v>
      </c>
      <c r="B16" s="7"/>
      <c r="C16" s="295"/>
      <c r="D16" s="507" t="s">
        <v>766</v>
      </c>
      <c r="E16" s="510"/>
      <c r="F16" s="510"/>
      <c r="G16" s="510"/>
      <c r="H16" s="511"/>
      <c r="I16" s="298"/>
      <c r="J16" s="389"/>
      <c r="K16" s="390"/>
      <c r="L16" s="392"/>
      <c r="M16" s="392"/>
      <c r="N16" s="392"/>
      <c r="O16" s="393"/>
      <c r="P16" s="394"/>
      <c r="Q16" s="177"/>
      <c r="R16" s="177"/>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row>
    <row r="17" spans="1:62" ht="15.6" customHeight="1" thickBot="1" x14ac:dyDescent="0.3">
      <c r="A17" s="363"/>
      <c r="B17" s="117"/>
      <c r="C17" s="257"/>
      <c r="D17" s="118"/>
      <c r="E17" s="258"/>
      <c r="F17" s="258"/>
      <c r="G17" s="258"/>
      <c r="H17" s="259"/>
      <c r="I17" s="259"/>
      <c r="J17" s="259"/>
      <c r="K17" s="259"/>
      <c r="L17" s="259"/>
      <c r="M17" s="259"/>
      <c r="N17" s="259"/>
      <c r="O17" s="260"/>
      <c r="P17" s="126"/>
      <c r="Q17" s="71"/>
      <c r="R17" s="71"/>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row>
    <row r="18" spans="1:62" ht="15.6" customHeight="1" x14ac:dyDescent="0.2">
      <c r="A18" s="63"/>
      <c r="D18" s="9"/>
      <c r="V18" s="240" t="s">
        <v>658</v>
      </c>
      <c r="AE18" s="29" t="s">
        <v>90</v>
      </c>
      <c r="AF18" s="29" t="s">
        <v>89</v>
      </c>
      <c r="AH18" s="29" t="s">
        <v>90</v>
      </c>
      <c r="AI18" s="29" t="s">
        <v>89</v>
      </c>
      <c r="AK18" s="29" t="s">
        <v>90</v>
      </c>
      <c r="AL18" s="29" t="s">
        <v>89</v>
      </c>
      <c r="AN18" s="29" t="s">
        <v>90</v>
      </c>
      <c r="AO18" s="29" t="s">
        <v>89</v>
      </c>
      <c r="AQ18" s="29" t="s">
        <v>90</v>
      </c>
      <c r="AR18" s="29" t="s">
        <v>89</v>
      </c>
      <c r="AT18" s="29" t="s">
        <v>90</v>
      </c>
      <c r="AU18" s="29" t="s">
        <v>89</v>
      </c>
      <c r="AW18" s="29" t="s">
        <v>90</v>
      </c>
      <c r="AX18" s="29" t="s">
        <v>89</v>
      </c>
      <c r="AZ18" s="29" t="s">
        <v>90</v>
      </c>
      <c r="BA18" s="29" t="s">
        <v>89</v>
      </c>
      <c r="BC18" s="29" t="s">
        <v>90</v>
      </c>
      <c r="BD18" s="29" t="s">
        <v>89</v>
      </c>
      <c r="BF18" s="29" t="s">
        <v>90</v>
      </c>
      <c r="BG18" s="29" t="s">
        <v>89</v>
      </c>
      <c r="BI18" s="29" t="s">
        <v>90</v>
      </c>
      <c r="BJ18" s="29" t="s">
        <v>89</v>
      </c>
    </row>
    <row r="19" spans="1:62" ht="15.6" customHeight="1" x14ac:dyDescent="0.2">
      <c r="A19" s="4" t="s">
        <v>79</v>
      </c>
      <c r="B19" s="8"/>
      <c r="C19" s="45">
        <f>+Takstblad!C3</f>
        <v>2025</v>
      </c>
      <c r="D19" s="8">
        <f>+C19+1</f>
        <v>2026</v>
      </c>
      <c r="E19" s="8">
        <f>+D19+1</f>
        <v>2027</v>
      </c>
      <c r="F19" s="8">
        <f>+E19+1</f>
        <v>2028</v>
      </c>
      <c r="G19" s="8">
        <f>+F19+1</f>
        <v>2029</v>
      </c>
      <c r="H19" s="8">
        <f>+G19+1</f>
        <v>2030</v>
      </c>
      <c r="I19" s="8">
        <f t="shared" ref="I19:J19" si="0">+H19+1</f>
        <v>2031</v>
      </c>
      <c r="J19" s="8">
        <f t="shared" si="0"/>
        <v>2032</v>
      </c>
      <c r="K19" s="8">
        <f t="shared" ref="K19" si="1">+J19+1</f>
        <v>2033</v>
      </c>
      <c r="L19" s="8">
        <f t="shared" ref="L19" si="2">+K19+1</f>
        <v>2034</v>
      </c>
      <c r="M19" s="8" t="s">
        <v>34</v>
      </c>
      <c r="N19" s="8" t="s">
        <v>33</v>
      </c>
      <c r="O19" s="8" t="s">
        <v>111</v>
      </c>
      <c r="P19" s="8"/>
      <c r="Q19" s="23" t="s">
        <v>73</v>
      </c>
      <c r="R19" s="4" t="s">
        <v>34</v>
      </c>
      <c r="S19" s="45">
        <f t="shared" ref="S19:AB19" si="3">+C19</f>
        <v>2025</v>
      </c>
      <c r="T19" s="8">
        <f t="shared" si="3"/>
        <v>2026</v>
      </c>
      <c r="U19" s="8">
        <f t="shared" si="3"/>
        <v>2027</v>
      </c>
      <c r="V19" s="8">
        <f t="shared" si="3"/>
        <v>2028</v>
      </c>
      <c r="W19" s="8">
        <f t="shared" si="3"/>
        <v>2029</v>
      </c>
      <c r="X19" s="8">
        <f t="shared" si="3"/>
        <v>2030</v>
      </c>
      <c r="Y19" s="8">
        <f t="shared" si="3"/>
        <v>2031</v>
      </c>
      <c r="Z19" s="8">
        <f t="shared" si="3"/>
        <v>2032</v>
      </c>
      <c r="AA19" s="8">
        <f t="shared" si="3"/>
        <v>2033</v>
      </c>
      <c r="AB19" s="8">
        <f t="shared" si="3"/>
        <v>2034</v>
      </c>
      <c r="AC19" s="4" t="s">
        <v>34</v>
      </c>
      <c r="AE19" s="503" t="s">
        <v>34</v>
      </c>
      <c r="AF19" s="502"/>
      <c r="AH19" s="501">
        <f>+S19</f>
        <v>2025</v>
      </c>
      <c r="AI19" s="502"/>
      <c r="AJ19" s="232"/>
      <c r="AK19" s="503">
        <f>+T19</f>
        <v>2026</v>
      </c>
      <c r="AL19" s="502"/>
      <c r="AM19" s="232"/>
      <c r="AN19" s="503">
        <f>+U19</f>
        <v>2027</v>
      </c>
      <c r="AO19" s="502"/>
      <c r="AQ19" s="503">
        <f>+V19</f>
        <v>2028</v>
      </c>
      <c r="AR19" s="502"/>
      <c r="AS19" s="232"/>
      <c r="AT19" s="503">
        <f>+W19</f>
        <v>2029</v>
      </c>
      <c r="AU19" s="502"/>
      <c r="AW19" s="503">
        <f>+X19</f>
        <v>2030</v>
      </c>
      <c r="AX19" s="502"/>
      <c r="AY19" s="232"/>
      <c r="AZ19" s="503">
        <f>Y19</f>
        <v>2031</v>
      </c>
      <c r="BA19" s="502"/>
      <c r="BB19" s="232"/>
      <c r="BC19" s="503">
        <f>+Z19</f>
        <v>2032</v>
      </c>
      <c r="BD19" s="502"/>
      <c r="BE19" s="232"/>
      <c r="BF19" s="503">
        <f>+AA19</f>
        <v>2033</v>
      </c>
      <c r="BG19" s="502"/>
      <c r="BH19" s="232"/>
      <c r="BI19" s="503">
        <f>+AB19</f>
        <v>2034</v>
      </c>
      <c r="BJ19" s="502"/>
    </row>
    <row r="20" spans="1:62" ht="15.6" customHeight="1" x14ac:dyDescent="0.2">
      <c r="A20" s="223" t="s">
        <v>1314</v>
      </c>
      <c r="B20" s="224" t="str">
        <f>+VLOOKUP(A20,Takstblad!$A$5:$B$30,2,FALSE)</f>
        <v/>
      </c>
      <c r="C20" s="299"/>
      <c r="D20" s="299"/>
      <c r="E20" s="299"/>
      <c r="F20" s="299"/>
      <c r="G20" s="299"/>
      <c r="H20" s="299"/>
      <c r="I20" s="299"/>
      <c r="J20" s="299"/>
      <c r="K20" s="299"/>
      <c r="L20" s="299"/>
      <c r="M20" s="19">
        <f>SUM(C20:L20)</f>
        <v>0</v>
      </c>
      <c r="N20" s="299"/>
      <c r="O20" s="299" t="s">
        <v>113</v>
      </c>
      <c r="P20" s="223"/>
      <c r="Q20" s="225"/>
      <c r="R20" s="227">
        <f>+AC20</f>
        <v>0</v>
      </c>
      <c r="S20" s="226">
        <f>+IFERROR(IF(S$19=Takstblad!C$3,VLOOKUP('B5'!$A20,takstblad,3,FALSE)*'B5'!C20,"fejl i år"),0)</f>
        <v>0</v>
      </c>
      <c r="T20" s="226">
        <f>+IFERROR(IF(T$19=Takstblad!D$3,VLOOKUP('B5'!$A20,takstblad,4,FALSE)*'B5'!D20,"fejl i år"),0)</f>
        <v>0</v>
      </c>
      <c r="U20" s="226">
        <f>+IFERROR(IF(U$19=Takstblad!E$3,VLOOKUP('B5'!$A20,takstblad,5,FALSE)*'B5'!E20,"fejl i år"),0)</f>
        <v>0</v>
      </c>
      <c r="V20" s="226">
        <f>+IFERROR(IF(V$19=Takstblad!F$3,VLOOKUP('B5'!$A20,takstblad,6,FALSE)*'B5'!F20,"fejl i år"),0)</f>
        <v>0</v>
      </c>
      <c r="W20" s="226">
        <f>+IFERROR(IF(W$19=Takstblad!G$3,VLOOKUP('B5'!$A20,takstblad,7,FALSE)*'B5'!G20,"fejl i år"),0)</f>
        <v>0</v>
      </c>
      <c r="X20" s="226">
        <f>+IFERROR(IF(X$19=Takstblad!H$3,VLOOKUP('B5'!$A20,takstblad,8,FALSE)*'B5'!H20,"fejl i år"),0)</f>
        <v>0</v>
      </c>
      <c r="Y20" s="226">
        <f>+IFERROR(IF(Y$19=Takstblad!I$3,VLOOKUP('B5'!$A20,takstblad,9,FALSE)*'B5'!I20,"fejl i år"),0)</f>
        <v>0</v>
      </c>
      <c r="Z20" s="226">
        <f>+IFERROR(IF(Z$19=Takstblad!J$3,VLOOKUP('B5'!$A20,takstblad,10,FALSE)*'B5'!J20,"fejl i år"),0)</f>
        <v>0</v>
      </c>
      <c r="AA20" s="226">
        <f>+IFERROR(IF(AA$19=Takstblad!K$3,VLOOKUP('B5'!$A20,takstblad,10,FALSE)*'B5'!K20,"fejl i år"),0)</f>
        <v>0</v>
      </c>
      <c r="AB20" s="226">
        <f>+IFERROR(IF(AB$19=Takstblad!L$3,VLOOKUP('B5'!$A20,takstblad,10,FALSE)*'B5'!L20,"fejl i år"),0)</f>
        <v>0</v>
      </c>
      <c r="AC20" s="227">
        <f>SUM(S20:AB20)</f>
        <v>0</v>
      </c>
      <c r="AD20" s="232"/>
      <c r="AE20" s="228">
        <f>+M20*($C$7/12)</f>
        <v>0</v>
      </c>
      <c r="AF20" s="228">
        <f>IFERROR(AC20/AE20,0)</f>
        <v>0</v>
      </c>
      <c r="AG20" s="232"/>
      <c r="AH20" s="228">
        <f>+C20*($C$7/12)</f>
        <v>0</v>
      </c>
      <c r="AI20" s="228">
        <f>IFERROR(S20/AH20,0)</f>
        <v>0</v>
      </c>
      <c r="AJ20" s="232"/>
      <c r="AK20" s="228">
        <f>+D20*($C$7/12)</f>
        <v>0</v>
      </c>
      <c r="AL20" s="228">
        <f>IFERROR(T20/AK20,0)</f>
        <v>0</v>
      </c>
      <c r="AM20" s="232"/>
      <c r="AN20" s="228">
        <f>+E20*($C$7/12)</f>
        <v>0</v>
      </c>
      <c r="AO20" s="228">
        <f>IFERROR(U20/AN20,0)</f>
        <v>0</v>
      </c>
      <c r="AP20" s="232"/>
      <c r="AQ20" s="228">
        <f>+F20*($C$7/12)</f>
        <v>0</v>
      </c>
      <c r="AR20" s="228">
        <f>IFERROR(V20/AQ20,0)</f>
        <v>0</v>
      </c>
      <c r="AS20" s="232"/>
      <c r="AT20" s="228">
        <f>+G20*($C$7/12)</f>
        <v>0</v>
      </c>
      <c r="AU20" s="228">
        <f>IFERROR(W20/AT20,0)</f>
        <v>0</v>
      </c>
      <c r="AV20" s="232"/>
      <c r="AW20" s="228">
        <f>+H20*($C$7/12)</f>
        <v>0</v>
      </c>
      <c r="AX20" s="228">
        <f>IFERROR(X20/AW20,0)</f>
        <v>0</v>
      </c>
      <c r="AY20" s="232"/>
      <c r="AZ20" s="228">
        <f>+I20*($C$7/12)</f>
        <v>0</v>
      </c>
      <c r="BA20" s="228">
        <f t="shared" ref="BA20:BA29" si="4">IFERROR(Y20/AZ20,0)</f>
        <v>0</v>
      </c>
      <c r="BB20" s="232"/>
      <c r="BC20" s="228">
        <f>+J20*($C$7/12)</f>
        <v>0</v>
      </c>
      <c r="BD20" s="228">
        <f t="shared" ref="BD20:BD28" si="5">IFERROR(Z20/BC20,0)</f>
        <v>0</v>
      </c>
      <c r="BE20" s="232"/>
      <c r="BF20" s="228">
        <f>+K20*($C$7/12)</f>
        <v>0</v>
      </c>
      <c r="BG20" s="228">
        <f>IFERROR(AA20/BF20,0)</f>
        <v>0</v>
      </c>
      <c r="BH20" s="232"/>
      <c r="BI20" s="228">
        <f>+L20*($C$7/12)</f>
        <v>0</v>
      </c>
      <c r="BJ20" s="228">
        <f>IFERROR(AB20/BI20,0)</f>
        <v>0</v>
      </c>
    </row>
    <row r="21" spans="1:62" ht="15.6" customHeight="1" x14ac:dyDescent="0.2">
      <c r="A21" s="7" t="s">
        <v>1314</v>
      </c>
      <c r="B21" s="4" t="str">
        <f>+VLOOKUP(A21,Takstblad!$A$5:$B$30,2,FALSE)</f>
        <v/>
      </c>
      <c r="C21" s="299"/>
      <c r="D21" s="299"/>
      <c r="E21" s="299"/>
      <c r="F21" s="299"/>
      <c r="G21" s="299"/>
      <c r="H21" s="299"/>
      <c r="I21" s="299"/>
      <c r="J21" s="299"/>
      <c r="K21" s="299"/>
      <c r="L21" s="299"/>
      <c r="M21" s="19">
        <f t="shared" ref="M21:M29" si="6">SUM(C21:L21)</f>
        <v>0</v>
      </c>
      <c r="N21" s="299"/>
      <c r="O21" s="299" t="s">
        <v>113</v>
      </c>
      <c r="Q21" s="24"/>
      <c r="R21" s="21">
        <f t="shared" ref="R21:R30" si="7">+AC21</f>
        <v>0</v>
      </c>
      <c r="S21" s="25">
        <f>+IFERROR(IF(S$19=Takstblad!C$3,VLOOKUP('B5'!$A21,takstblad,3,FALSE)*'B5'!C21,"fejl i år"),0)</f>
        <v>0</v>
      </c>
      <c r="T21" s="25">
        <f>+IFERROR(IF(T$19=Takstblad!D$3,VLOOKUP('B5'!$A21,takstblad,4,FALSE)*'B5'!D21,"fejl i år"),0)</f>
        <v>0</v>
      </c>
      <c r="U21" s="25">
        <f>+IFERROR(IF(U$19=Takstblad!E$3,VLOOKUP('B5'!$A21,takstblad,5,FALSE)*'B5'!E21,"fejl i år"),0)</f>
        <v>0</v>
      </c>
      <c r="V21" s="25">
        <f>+IFERROR(IF(V$19=Takstblad!F$3,VLOOKUP('B5'!$A21,takstblad,6,FALSE)*'B5'!F21,"fejl i år"),0)</f>
        <v>0</v>
      </c>
      <c r="W21" s="25">
        <f>+IFERROR(IF(W$19=Takstblad!G$3,VLOOKUP('B5'!$A21,takstblad,7,FALSE)*'B5'!G21,"fejl i år"),0)</f>
        <v>0</v>
      </c>
      <c r="X21" s="25">
        <f>+IFERROR(IF(X$19=Takstblad!H$3,VLOOKUP('B5'!$A21,takstblad,8,FALSE)*'B5'!H21,"fejl i år"),0)</f>
        <v>0</v>
      </c>
      <c r="Y21" s="25">
        <f>+IFERROR(IF(Y$19=Takstblad!I$3,VLOOKUP('B5'!$A21,takstblad,9,FALSE)*'B5'!I21,"fejl i år"),0)</f>
        <v>0</v>
      </c>
      <c r="Z21" s="25">
        <f>+IFERROR(IF(Z$19=Takstblad!J$3,VLOOKUP('B5'!$A21,takstblad,10,FALSE)*'B5'!J21,"fejl i år"),0)</f>
        <v>0</v>
      </c>
      <c r="AA21" s="25">
        <f>+IFERROR(IF(AA$19=Takstblad!K$3,VLOOKUP('B5'!$A21,takstblad,10,FALSE)*'B5'!K21,"fejl i år"),0)</f>
        <v>0</v>
      </c>
      <c r="AB21" s="25">
        <f>+IFERROR(IF(AB$19=Takstblad!L$3,VLOOKUP('B5'!$A21,takstblad,10,FALSE)*'B5'!L21,"fejl i år"),0)</f>
        <v>0</v>
      </c>
      <c r="AC21" s="21">
        <f t="shared" ref="AC21:AC30" si="8">SUM(S21:AB21)</f>
        <v>0</v>
      </c>
      <c r="AD21" s="232"/>
      <c r="AE21" s="25">
        <f t="shared" ref="AE21:AE29" si="9">+M21*($C$7/12)</f>
        <v>0</v>
      </c>
      <c r="AF21" s="25">
        <f t="shared" ref="AF21:AF30" si="10">IFERROR(AC21/AE21,0)</f>
        <v>0</v>
      </c>
      <c r="AG21" s="232"/>
      <c r="AH21" s="25">
        <f t="shared" ref="AH21:AH29" si="11">+C21*($C$7/12)</f>
        <v>0</v>
      </c>
      <c r="AI21" s="25">
        <f t="shared" ref="AI21:AI30" si="12">IFERROR(S21/AH21,0)</f>
        <v>0</v>
      </c>
      <c r="AJ21" s="232"/>
      <c r="AK21" s="25">
        <f t="shared" ref="AK21:AK29" si="13">+D21*($C$7/12)</f>
        <v>0</v>
      </c>
      <c r="AL21" s="25">
        <f t="shared" ref="AL21:AL30" si="14">IFERROR(T21/AK21,0)</f>
        <v>0</v>
      </c>
      <c r="AM21" s="232"/>
      <c r="AN21" s="25">
        <f t="shared" ref="AN21:AN29" si="15">+E21*($C$7/12)</f>
        <v>0</v>
      </c>
      <c r="AO21" s="25">
        <f t="shared" ref="AO21:AO30" si="16">IFERROR(U21/AN21,0)</f>
        <v>0</v>
      </c>
      <c r="AP21" s="232"/>
      <c r="AQ21" s="25">
        <f t="shared" ref="AQ21:AQ29" si="17">+F21*($C$7/12)</f>
        <v>0</v>
      </c>
      <c r="AR21" s="25">
        <f t="shared" ref="AR21:AR30" si="18">IFERROR(V21/AQ21,0)</f>
        <v>0</v>
      </c>
      <c r="AS21" s="232"/>
      <c r="AT21" s="25">
        <f t="shared" ref="AT21:AT29" si="19">+G21*($C$7/12)</f>
        <v>0</v>
      </c>
      <c r="AU21" s="25">
        <f t="shared" ref="AU21:AU30" si="20">IFERROR(W21/AT21,0)</f>
        <v>0</v>
      </c>
      <c r="AV21" s="232"/>
      <c r="AW21" s="25">
        <f t="shared" ref="AW21:AW29" si="21">+H21*($C$7/12)</f>
        <v>0</v>
      </c>
      <c r="AX21" s="25">
        <f t="shared" ref="AX21:AX30" si="22">IFERROR(X21/AW21,0)</f>
        <v>0</v>
      </c>
      <c r="AY21" s="232"/>
      <c r="AZ21" s="25">
        <f t="shared" ref="AZ21:AZ29" si="23">+I21*($C$7/12)</f>
        <v>0</v>
      </c>
      <c r="BA21" s="25">
        <f t="shared" si="4"/>
        <v>0</v>
      </c>
      <c r="BB21" s="232"/>
      <c r="BC21" s="25">
        <f t="shared" ref="BC21:BC29" si="24">+J21*($C$7/12)</f>
        <v>0</v>
      </c>
      <c r="BD21" s="25">
        <f t="shared" si="5"/>
        <v>0</v>
      </c>
      <c r="BE21" s="232"/>
      <c r="BF21" s="25">
        <f t="shared" ref="BF21:BF29" si="25">+K21*($C$7/12)</f>
        <v>0</v>
      </c>
      <c r="BG21" s="25">
        <f t="shared" ref="BG21:BG29" si="26">IFERROR(AA21/BF21,0)</f>
        <v>0</v>
      </c>
      <c r="BH21" s="232"/>
      <c r="BI21" s="25">
        <f t="shared" ref="BI21:BI29" si="27">+L21*($C$7/12)</f>
        <v>0</v>
      </c>
      <c r="BJ21" s="25">
        <f t="shared" ref="BJ21:BJ29" si="28">IFERROR(AB21/BI21,0)</f>
        <v>0</v>
      </c>
    </row>
    <row r="22" spans="1:62" ht="15.6" customHeight="1" x14ac:dyDescent="0.2">
      <c r="A22" s="223" t="s">
        <v>1314</v>
      </c>
      <c r="B22" s="224" t="str">
        <f>+VLOOKUP(A22,Takstblad!$A$5:$B$30,2,FALSE)</f>
        <v/>
      </c>
      <c r="C22" s="299"/>
      <c r="D22" s="299"/>
      <c r="E22" s="299"/>
      <c r="F22" s="299"/>
      <c r="G22" s="299"/>
      <c r="H22" s="299"/>
      <c r="I22" s="299"/>
      <c r="J22" s="299"/>
      <c r="K22" s="299"/>
      <c r="L22" s="299"/>
      <c r="M22" s="19">
        <f t="shared" si="6"/>
        <v>0</v>
      </c>
      <c r="N22" s="299"/>
      <c r="O22" s="299" t="s">
        <v>113</v>
      </c>
      <c r="P22" s="223"/>
      <c r="Q22" s="225"/>
      <c r="R22" s="227">
        <f t="shared" si="7"/>
        <v>0</v>
      </c>
      <c r="S22" s="226">
        <f>+IFERROR(IF(S$19=Takstblad!C$3,VLOOKUP('B5'!$A22,takstblad,3,FALSE)*'B5'!C22,"fejl i år"),0)</f>
        <v>0</v>
      </c>
      <c r="T22" s="226">
        <f>+IFERROR(IF(T$19=Takstblad!D$3,VLOOKUP('B5'!$A22,takstblad,4,FALSE)*'B5'!D22,"fejl i år"),0)</f>
        <v>0</v>
      </c>
      <c r="U22" s="226">
        <f>+IFERROR(IF(U$19=Takstblad!E$3,VLOOKUP('B5'!$A22,takstblad,5,FALSE)*'B5'!E22,"fejl i år"),0)</f>
        <v>0</v>
      </c>
      <c r="V22" s="226">
        <f>+IFERROR(IF(V$19=Takstblad!F$3,VLOOKUP('B5'!$A22,takstblad,6,FALSE)*'B5'!F22,"fejl i år"),0)</f>
        <v>0</v>
      </c>
      <c r="W22" s="226">
        <f>+IFERROR(IF(W$19=Takstblad!G$3,VLOOKUP('B5'!$A22,takstblad,7,FALSE)*'B5'!G22,"fejl i år"),0)</f>
        <v>0</v>
      </c>
      <c r="X22" s="226">
        <f>+IFERROR(IF(X$19=Takstblad!H$3,VLOOKUP('B5'!$A22,takstblad,8,FALSE)*'B5'!H22,"fejl i år"),0)</f>
        <v>0</v>
      </c>
      <c r="Y22" s="226">
        <f>+IFERROR(IF(Y$19=Takstblad!I$3,VLOOKUP('B5'!$A22,takstblad,9,FALSE)*'B5'!I22,"fejl i år"),0)</f>
        <v>0</v>
      </c>
      <c r="Z22" s="226">
        <f>+IFERROR(IF(Z$19=Takstblad!J$3,VLOOKUP('B5'!$A22,takstblad,10,FALSE)*'B5'!J22,"fejl i år"),0)</f>
        <v>0</v>
      </c>
      <c r="AA22" s="226">
        <f>+IFERROR(IF(AA$19=Takstblad!K$3,VLOOKUP('B5'!$A22,takstblad,10,FALSE)*'B5'!K22,"fejl i år"),0)</f>
        <v>0</v>
      </c>
      <c r="AB22" s="226">
        <f>+IFERROR(IF(AB$19=Takstblad!L$3,VLOOKUP('B5'!$A22,takstblad,10,FALSE)*'B5'!L22,"fejl i år"),0)</f>
        <v>0</v>
      </c>
      <c r="AC22" s="227">
        <f t="shared" si="8"/>
        <v>0</v>
      </c>
      <c r="AD22" s="232"/>
      <c r="AE22" s="228">
        <f t="shared" si="9"/>
        <v>0</v>
      </c>
      <c r="AF22" s="228">
        <f t="shared" si="10"/>
        <v>0</v>
      </c>
      <c r="AG22" s="232"/>
      <c r="AH22" s="228">
        <f t="shared" si="11"/>
        <v>0</v>
      </c>
      <c r="AI22" s="228">
        <f t="shared" si="12"/>
        <v>0</v>
      </c>
      <c r="AJ22" s="232"/>
      <c r="AK22" s="228">
        <f t="shared" si="13"/>
        <v>0</v>
      </c>
      <c r="AL22" s="228">
        <f t="shared" si="14"/>
        <v>0</v>
      </c>
      <c r="AM22" s="232"/>
      <c r="AN22" s="228">
        <f t="shared" si="15"/>
        <v>0</v>
      </c>
      <c r="AO22" s="228">
        <f t="shared" si="16"/>
        <v>0</v>
      </c>
      <c r="AP22" s="232"/>
      <c r="AQ22" s="228">
        <f t="shared" si="17"/>
        <v>0</v>
      </c>
      <c r="AR22" s="228">
        <f t="shared" si="18"/>
        <v>0</v>
      </c>
      <c r="AS22" s="232"/>
      <c r="AT22" s="228">
        <f t="shared" si="19"/>
        <v>0</v>
      </c>
      <c r="AU22" s="228">
        <f t="shared" si="20"/>
        <v>0</v>
      </c>
      <c r="AV22" s="232"/>
      <c r="AW22" s="228">
        <f t="shared" si="21"/>
        <v>0</v>
      </c>
      <c r="AX22" s="228">
        <f t="shared" si="22"/>
        <v>0</v>
      </c>
      <c r="AY22" s="232"/>
      <c r="AZ22" s="228">
        <f t="shared" si="23"/>
        <v>0</v>
      </c>
      <c r="BA22" s="228">
        <f t="shared" si="4"/>
        <v>0</v>
      </c>
      <c r="BB22" s="232"/>
      <c r="BC22" s="228">
        <f t="shared" si="24"/>
        <v>0</v>
      </c>
      <c r="BD22" s="228">
        <f t="shared" si="5"/>
        <v>0</v>
      </c>
      <c r="BE22" s="232"/>
      <c r="BF22" s="228">
        <f t="shared" si="25"/>
        <v>0</v>
      </c>
      <c r="BG22" s="228">
        <f t="shared" si="26"/>
        <v>0</v>
      </c>
      <c r="BH22" s="232"/>
      <c r="BI22" s="228">
        <f t="shared" si="27"/>
        <v>0</v>
      </c>
      <c r="BJ22" s="228">
        <f t="shared" si="28"/>
        <v>0</v>
      </c>
    </row>
    <row r="23" spans="1:62" ht="15.6" customHeight="1" x14ac:dyDescent="0.2">
      <c r="A23" s="7" t="s">
        <v>1314</v>
      </c>
      <c r="B23" s="4" t="str">
        <f>+VLOOKUP(A23,Takstblad!$A$5:$B$30,2,FALSE)</f>
        <v/>
      </c>
      <c r="C23" s="299"/>
      <c r="D23" s="299"/>
      <c r="E23" s="299"/>
      <c r="F23" s="299"/>
      <c r="G23" s="299"/>
      <c r="H23" s="299"/>
      <c r="I23" s="299"/>
      <c r="J23" s="299"/>
      <c r="K23" s="299"/>
      <c r="L23" s="299"/>
      <c r="M23" s="19">
        <f t="shared" si="6"/>
        <v>0</v>
      </c>
      <c r="N23" s="299"/>
      <c r="O23" s="299" t="s">
        <v>113</v>
      </c>
      <c r="Q23" s="16"/>
      <c r="R23" s="21">
        <f t="shared" si="7"/>
        <v>0</v>
      </c>
      <c r="S23" s="25">
        <f>+IFERROR(IF(S$19=Takstblad!C$3,VLOOKUP('B5'!$A23,takstblad,3,FALSE)*'B5'!C23,"fejl i år"),0)</f>
        <v>0</v>
      </c>
      <c r="T23" s="25">
        <f>+IFERROR(IF(T$19=Takstblad!D$3,VLOOKUP('B5'!$A23,takstblad,4,FALSE)*'B5'!D23,"fejl i år"),0)</f>
        <v>0</v>
      </c>
      <c r="U23" s="25">
        <f>+IFERROR(IF(U$19=Takstblad!E$3,VLOOKUP('B5'!$A23,takstblad,5,FALSE)*'B5'!E23,"fejl i år"),0)</f>
        <v>0</v>
      </c>
      <c r="V23" s="25">
        <f>+IFERROR(IF(V$19=Takstblad!F$3,VLOOKUP('B5'!$A23,takstblad,6,FALSE)*'B5'!F23,"fejl i år"),0)</f>
        <v>0</v>
      </c>
      <c r="W23" s="25">
        <f>+IFERROR(IF(W$19=Takstblad!G$3,VLOOKUP('B5'!$A23,takstblad,7,FALSE)*'B5'!G23,"fejl i år"),0)</f>
        <v>0</v>
      </c>
      <c r="X23" s="25">
        <f>+IFERROR(IF(X$19=Takstblad!H$3,VLOOKUP('B5'!$A23,takstblad,8,FALSE)*'B5'!H23,"fejl i år"),0)</f>
        <v>0</v>
      </c>
      <c r="Y23" s="25">
        <f>+IFERROR(IF(Y$19=Takstblad!I$3,VLOOKUP('B5'!$A23,takstblad,9,FALSE)*'B5'!I23,"fejl i år"),0)</f>
        <v>0</v>
      </c>
      <c r="Z23" s="25">
        <f>+IFERROR(IF(Z$19=Takstblad!J$3,VLOOKUP('B5'!$A23,takstblad,10,FALSE)*'B5'!J23,"fejl i år"),0)</f>
        <v>0</v>
      </c>
      <c r="AA23" s="25">
        <f>+IFERROR(IF(AA$19=Takstblad!K$3,VLOOKUP('B5'!$A23,takstblad,10,FALSE)*'B5'!K23,"fejl i år"),0)</f>
        <v>0</v>
      </c>
      <c r="AB23" s="25">
        <f>+IFERROR(IF(AB$19=Takstblad!L$3,VLOOKUP('B5'!$A23,takstblad,10,FALSE)*'B5'!L23,"fejl i år"),0)</f>
        <v>0</v>
      </c>
      <c r="AC23" s="21">
        <f t="shared" si="8"/>
        <v>0</v>
      </c>
      <c r="AD23" s="232"/>
      <c r="AE23" s="25">
        <f t="shared" si="9"/>
        <v>0</v>
      </c>
      <c r="AF23" s="25">
        <f t="shared" si="10"/>
        <v>0</v>
      </c>
      <c r="AG23" s="232"/>
      <c r="AH23" s="25">
        <f t="shared" si="11"/>
        <v>0</v>
      </c>
      <c r="AI23" s="25">
        <f t="shared" si="12"/>
        <v>0</v>
      </c>
      <c r="AJ23" s="232"/>
      <c r="AK23" s="25">
        <f t="shared" si="13"/>
        <v>0</v>
      </c>
      <c r="AL23" s="25">
        <f t="shared" si="14"/>
        <v>0</v>
      </c>
      <c r="AM23" s="232"/>
      <c r="AN23" s="25">
        <f t="shared" si="15"/>
        <v>0</v>
      </c>
      <c r="AO23" s="25">
        <f t="shared" si="16"/>
        <v>0</v>
      </c>
      <c r="AP23" s="232"/>
      <c r="AQ23" s="25">
        <f t="shared" si="17"/>
        <v>0</v>
      </c>
      <c r="AR23" s="25">
        <f t="shared" si="18"/>
        <v>0</v>
      </c>
      <c r="AS23" s="232"/>
      <c r="AT23" s="25">
        <f t="shared" si="19"/>
        <v>0</v>
      </c>
      <c r="AU23" s="25">
        <f t="shared" si="20"/>
        <v>0</v>
      </c>
      <c r="AV23" s="232"/>
      <c r="AW23" s="25">
        <f t="shared" si="21"/>
        <v>0</v>
      </c>
      <c r="AX23" s="25">
        <f t="shared" si="22"/>
        <v>0</v>
      </c>
      <c r="AY23" s="232"/>
      <c r="AZ23" s="25">
        <f t="shared" si="23"/>
        <v>0</v>
      </c>
      <c r="BA23" s="25">
        <f t="shared" si="4"/>
        <v>0</v>
      </c>
      <c r="BB23" s="232"/>
      <c r="BC23" s="25">
        <f t="shared" si="24"/>
        <v>0</v>
      </c>
      <c r="BD23" s="25">
        <f t="shared" si="5"/>
        <v>0</v>
      </c>
      <c r="BE23" s="232"/>
      <c r="BF23" s="25">
        <f t="shared" si="25"/>
        <v>0</v>
      </c>
      <c r="BG23" s="25">
        <f t="shared" si="26"/>
        <v>0</v>
      </c>
      <c r="BH23" s="232"/>
      <c r="BI23" s="25">
        <f t="shared" si="27"/>
        <v>0</v>
      </c>
      <c r="BJ23" s="25">
        <f t="shared" si="28"/>
        <v>0</v>
      </c>
    </row>
    <row r="24" spans="1:62" ht="15.6" customHeight="1" x14ac:dyDescent="0.2">
      <c r="A24" s="223" t="s">
        <v>1314</v>
      </c>
      <c r="B24" s="224" t="str">
        <f>+VLOOKUP(A24,Takstblad!$A$5:$B$30,2,FALSE)</f>
        <v/>
      </c>
      <c r="C24" s="299"/>
      <c r="D24" s="299"/>
      <c r="E24" s="299"/>
      <c r="F24" s="299"/>
      <c r="G24" s="299"/>
      <c r="H24" s="299"/>
      <c r="I24" s="299"/>
      <c r="J24" s="299"/>
      <c r="K24" s="299"/>
      <c r="L24" s="299"/>
      <c r="M24" s="19">
        <f t="shared" si="6"/>
        <v>0</v>
      </c>
      <c r="N24" s="299"/>
      <c r="O24" s="299" t="s">
        <v>113</v>
      </c>
      <c r="P24" s="223"/>
      <c r="Q24" s="225"/>
      <c r="R24" s="227">
        <f t="shared" si="7"/>
        <v>0</v>
      </c>
      <c r="S24" s="226">
        <f>+IFERROR(IF(S$19=Takstblad!C$3,VLOOKUP('B5'!$A24,takstblad,3,FALSE)*'B5'!C24,"fejl i år"),0)</f>
        <v>0</v>
      </c>
      <c r="T24" s="226">
        <f>+IFERROR(IF(T$19=Takstblad!D$3,VLOOKUP('B5'!$A24,takstblad,4,FALSE)*'B5'!D24,"fejl i år"),0)</f>
        <v>0</v>
      </c>
      <c r="U24" s="226">
        <f>+IFERROR(IF(U$19=Takstblad!E$3,VLOOKUP('B5'!$A24,takstblad,5,FALSE)*'B5'!E24,"fejl i år"),0)</f>
        <v>0</v>
      </c>
      <c r="V24" s="226">
        <f>+IFERROR(IF(V$19=Takstblad!F$3,VLOOKUP('B5'!$A24,takstblad,6,FALSE)*'B5'!F24,"fejl i år"),0)</f>
        <v>0</v>
      </c>
      <c r="W24" s="226">
        <f>+IFERROR(IF(W$19=Takstblad!G$3,VLOOKUP('B5'!$A24,takstblad,7,FALSE)*'B5'!G24,"fejl i år"),0)</f>
        <v>0</v>
      </c>
      <c r="X24" s="226">
        <f>+IFERROR(IF(X$19=Takstblad!H$3,VLOOKUP('B5'!$A24,takstblad,8,FALSE)*'B5'!H24,"fejl i år"),0)</f>
        <v>0</v>
      </c>
      <c r="Y24" s="226">
        <f>+IFERROR(IF(Y$19=Takstblad!I$3,VLOOKUP('B5'!$A24,takstblad,9,FALSE)*'B5'!I24,"fejl i år"),0)</f>
        <v>0</v>
      </c>
      <c r="Z24" s="226">
        <f>+IFERROR(IF(Z$19=Takstblad!J$3,VLOOKUP('B5'!$A24,takstblad,10,FALSE)*'B5'!J24,"fejl i år"),0)</f>
        <v>0</v>
      </c>
      <c r="AA24" s="226">
        <f>+IFERROR(IF(AA$19=Takstblad!K$3,VLOOKUP('B5'!$A24,takstblad,10,FALSE)*'B5'!K24,"fejl i år"),0)</f>
        <v>0</v>
      </c>
      <c r="AB24" s="226">
        <f>+IFERROR(IF(AB$19=Takstblad!L$3,VLOOKUP('B5'!$A24,takstblad,10,FALSE)*'B5'!L24,"fejl i år"),0)</f>
        <v>0</v>
      </c>
      <c r="AC24" s="227">
        <f t="shared" si="8"/>
        <v>0</v>
      </c>
      <c r="AD24" s="232"/>
      <c r="AE24" s="228">
        <f>+M24*($C$7/12)</f>
        <v>0</v>
      </c>
      <c r="AF24" s="228">
        <f>IFERROR(AC24/AE24,0)</f>
        <v>0</v>
      </c>
      <c r="AG24" s="232"/>
      <c r="AH24" s="228">
        <f>+C24*($C$7/12)</f>
        <v>0</v>
      </c>
      <c r="AI24" s="228">
        <f>IFERROR(S24/AH24,0)</f>
        <v>0</v>
      </c>
      <c r="AJ24" s="232"/>
      <c r="AK24" s="228">
        <f t="shared" si="13"/>
        <v>0</v>
      </c>
      <c r="AL24" s="228">
        <f t="shared" si="14"/>
        <v>0</v>
      </c>
      <c r="AM24" s="232"/>
      <c r="AN24" s="228">
        <f t="shared" si="15"/>
        <v>0</v>
      </c>
      <c r="AO24" s="228">
        <f t="shared" si="16"/>
        <v>0</v>
      </c>
      <c r="AP24" s="232"/>
      <c r="AQ24" s="228">
        <f t="shared" si="17"/>
        <v>0</v>
      </c>
      <c r="AR24" s="228">
        <f t="shared" si="18"/>
        <v>0</v>
      </c>
      <c r="AS24" s="232"/>
      <c r="AT24" s="228">
        <f t="shared" si="19"/>
        <v>0</v>
      </c>
      <c r="AU24" s="228">
        <f t="shared" si="20"/>
        <v>0</v>
      </c>
      <c r="AV24" s="232"/>
      <c r="AW24" s="228">
        <f t="shared" si="21"/>
        <v>0</v>
      </c>
      <c r="AX24" s="228">
        <f t="shared" si="22"/>
        <v>0</v>
      </c>
      <c r="AY24" s="232"/>
      <c r="AZ24" s="228">
        <f t="shared" si="23"/>
        <v>0</v>
      </c>
      <c r="BA24" s="228">
        <f t="shared" si="4"/>
        <v>0</v>
      </c>
      <c r="BB24" s="232"/>
      <c r="BC24" s="228">
        <f t="shared" si="24"/>
        <v>0</v>
      </c>
      <c r="BD24" s="228">
        <f t="shared" si="5"/>
        <v>0</v>
      </c>
      <c r="BE24" s="232"/>
      <c r="BF24" s="228">
        <f t="shared" si="25"/>
        <v>0</v>
      </c>
      <c r="BG24" s="228">
        <f t="shared" si="26"/>
        <v>0</v>
      </c>
      <c r="BH24" s="232"/>
      <c r="BI24" s="228">
        <f t="shared" si="27"/>
        <v>0</v>
      </c>
      <c r="BJ24" s="228">
        <f t="shared" si="28"/>
        <v>0</v>
      </c>
    </row>
    <row r="25" spans="1:62" ht="15.6" customHeight="1" x14ac:dyDescent="0.2">
      <c r="A25" s="7" t="s">
        <v>1314</v>
      </c>
      <c r="B25" s="4" t="str">
        <f>+VLOOKUP(A25,Takstblad!$A$5:$B$30,2,FALSE)</f>
        <v/>
      </c>
      <c r="C25" s="299"/>
      <c r="D25" s="299"/>
      <c r="E25" s="299"/>
      <c r="F25" s="299"/>
      <c r="G25" s="299"/>
      <c r="H25" s="299"/>
      <c r="I25" s="299"/>
      <c r="J25" s="299"/>
      <c r="K25" s="299"/>
      <c r="L25" s="299"/>
      <c r="M25" s="19">
        <f t="shared" si="6"/>
        <v>0</v>
      </c>
      <c r="N25" s="299"/>
      <c r="O25" s="299" t="s">
        <v>113</v>
      </c>
      <c r="Q25" s="16"/>
      <c r="R25" s="21">
        <f t="shared" si="7"/>
        <v>0</v>
      </c>
      <c r="S25" s="25">
        <f>+IFERROR(IF(S$19=Takstblad!C$3,VLOOKUP('B5'!$A25,takstblad,3,FALSE)*'B5'!C25,"fejl i år"),0)</f>
        <v>0</v>
      </c>
      <c r="T25" s="25">
        <f>+IFERROR(IF(T$19=Takstblad!D$3,VLOOKUP('B5'!$A25,takstblad,4,FALSE)*'B5'!D25,"fejl i år"),0)</f>
        <v>0</v>
      </c>
      <c r="U25" s="25">
        <f>+IFERROR(IF(U$19=Takstblad!E$3,VLOOKUP('B5'!$A25,takstblad,5,FALSE)*'B5'!E25,"fejl i år"),0)</f>
        <v>0</v>
      </c>
      <c r="V25" s="25">
        <f>+IFERROR(IF(V$19=Takstblad!F$3,VLOOKUP('B5'!$A25,takstblad,6,FALSE)*'B5'!F25,"fejl i år"),0)</f>
        <v>0</v>
      </c>
      <c r="W25" s="25">
        <f>+IFERROR(IF(W$19=Takstblad!G$3,VLOOKUP('B5'!$A25,takstblad,7,FALSE)*'B5'!G25,"fejl i år"),0)</f>
        <v>0</v>
      </c>
      <c r="X25" s="25">
        <f>+IFERROR(IF(X$19=Takstblad!H$3,VLOOKUP('B5'!$A25,takstblad,8,FALSE)*'B5'!H25,"fejl i år"),0)</f>
        <v>0</v>
      </c>
      <c r="Y25" s="25">
        <f>+IFERROR(IF(Y$19=Takstblad!I$3,VLOOKUP('B5'!$A25,takstblad,9,FALSE)*'B5'!I25,"fejl i år"),0)</f>
        <v>0</v>
      </c>
      <c r="Z25" s="25">
        <f>+IFERROR(IF(Z$19=Takstblad!J$3,VLOOKUP('B5'!$A25,takstblad,10,FALSE)*'B5'!J25,"fejl i år"),0)</f>
        <v>0</v>
      </c>
      <c r="AA25" s="25">
        <f>+IFERROR(IF(AA$19=Takstblad!K$3,VLOOKUP('B5'!$A25,takstblad,10,FALSE)*'B5'!K25,"fejl i år"),0)</f>
        <v>0</v>
      </c>
      <c r="AB25" s="25">
        <f>+IFERROR(IF(AB$19=Takstblad!L$3,VLOOKUP('B5'!$A25,takstblad,10,FALSE)*'B5'!L25,"fejl i år"),0)</f>
        <v>0</v>
      </c>
      <c r="AC25" s="21">
        <f t="shared" si="8"/>
        <v>0</v>
      </c>
      <c r="AD25" s="232"/>
      <c r="AE25" s="25">
        <f>+M25*($C$7/12)</f>
        <v>0</v>
      </c>
      <c r="AF25" s="25">
        <f>IFERROR(AC25/AE25,0)</f>
        <v>0</v>
      </c>
      <c r="AG25" s="232"/>
      <c r="AH25" s="25">
        <f t="shared" si="11"/>
        <v>0</v>
      </c>
      <c r="AI25" s="25">
        <f t="shared" si="12"/>
        <v>0</v>
      </c>
      <c r="AJ25" s="232"/>
      <c r="AK25" s="25">
        <f t="shared" si="13"/>
        <v>0</v>
      </c>
      <c r="AL25" s="25">
        <f t="shared" si="14"/>
        <v>0</v>
      </c>
      <c r="AM25" s="232"/>
      <c r="AN25" s="25">
        <f t="shared" si="15"/>
        <v>0</v>
      </c>
      <c r="AO25" s="25">
        <f t="shared" si="16"/>
        <v>0</v>
      </c>
      <c r="AP25" s="232"/>
      <c r="AQ25" s="25">
        <f t="shared" si="17"/>
        <v>0</v>
      </c>
      <c r="AR25" s="25">
        <f t="shared" si="18"/>
        <v>0</v>
      </c>
      <c r="AS25" s="232"/>
      <c r="AT25" s="25">
        <f t="shared" si="19"/>
        <v>0</v>
      </c>
      <c r="AU25" s="25">
        <f t="shared" si="20"/>
        <v>0</v>
      </c>
      <c r="AV25" s="232"/>
      <c r="AW25" s="25">
        <f t="shared" si="21"/>
        <v>0</v>
      </c>
      <c r="AX25" s="25">
        <f t="shared" si="22"/>
        <v>0</v>
      </c>
      <c r="AY25" s="232"/>
      <c r="AZ25" s="25">
        <f>+I25*($C$7/12)</f>
        <v>0</v>
      </c>
      <c r="BA25" s="25">
        <f t="shared" si="4"/>
        <v>0</v>
      </c>
      <c r="BB25" s="232"/>
      <c r="BC25" s="25">
        <f t="shared" si="24"/>
        <v>0</v>
      </c>
      <c r="BD25" s="25">
        <f t="shared" si="5"/>
        <v>0</v>
      </c>
      <c r="BE25" s="232"/>
      <c r="BF25" s="25">
        <f t="shared" si="25"/>
        <v>0</v>
      </c>
      <c r="BG25" s="25">
        <f t="shared" si="26"/>
        <v>0</v>
      </c>
      <c r="BH25" s="232"/>
      <c r="BI25" s="25">
        <f t="shared" si="27"/>
        <v>0</v>
      </c>
      <c r="BJ25" s="25">
        <f t="shared" si="28"/>
        <v>0</v>
      </c>
    </row>
    <row r="26" spans="1:62" ht="15.6" customHeight="1" x14ac:dyDescent="0.2">
      <c r="A26" s="223" t="s">
        <v>1314</v>
      </c>
      <c r="B26" s="224" t="str">
        <f>+VLOOKUP(A26,Takstblad!$A$5:$B$30,2,FALSE)</f>
        <v/>
      </c>
      <c r="C26" s="299"/>
      <c r="D26" s="299"/>
      <c r="E26" s="299"/>
      <c r="F26" s="299"/>
      <c r="G26" s="299"/>
      <c r="H26" s="299"/>
      <c r="I26" s="299"/>
      <c r="J26" s="299"/>
      <c r="K26" s="299"/>
      <c r="L26" s="299"/>
      <c r="M26" s="19">
        <f t="shared" si="6"/>
        <v>0</v>
      </c>
      <c r="N26" s="299"/>
      <c r="O26" s="299" t="s">
        <v>113</v>
      </c>
      <c r="P26" s="223"/>
      <c r="Q26" s="225"/>
      <c r="R26" s="227">
        <f t="shared" si="7"/>
        <v>0</v>
      </c>
      <c r="S26" s="226">
        <f>+IFERROR(IF(S$19=Takstblad!C$3,VLOOKUP('B5'!$A26,takstblad,3,FALSE)*'B5'!C26,"fejl i år"),0)</f>
        <v>0</v>
      </c>
      <c r="T26" s="226">
        <f>+IFERROR(IF(T$19=Takstblad!D$3,VLOOKUP('B5'!$A26,takstblad,4,FALSE)*'B5'!D26,"fejl i år"),0)</f>
        <v>0</v>
      </c>
      <c r="U26" s="226">
        <f>+IFERROR(IF(U$19=Takstblad!E$3,VLOOKUP('B5'!$A26,takstblad,5,FALSE)*'B5'!E26,"fejl i år"),0)</f>
        <v>0</v>
      </c>
      <c r="V26" s="226">
        <f>+IFERROR(IF(V$19=Takstblad!F$3,VLOOKUP('B5'!$A26,takstblad,6,FALSE)*'B5'!F26,"fejl i år"),0)</f>
        <v>0</v>
      </c>
      <c r="W26" s="226">
        <f>+IFERROR(IF(W$19=Takstblad!G$3,VLOOKUP('B5'!$A26,takstblad,7,FALSE)*'B5'!G26,"fejl i år"),0)</f>
        <v>0</v>
      </c>
      <c r="X26" s="226">
        <f>+IFERROR(IF(X$19=Takstblad!H$3,VLOOKUP('B5'!$A26,takstblad,8,FALSE)*'B5'!H26,"fejl i år"),0)</f>
        <v>0</v>
      </c>
      <c r="Y26" s="226">
        <f>+IFERROR(IF(Y$19=Takstblad!I$3,VLOOKUP('B5'!$A26,takstblad,9,FALSE)*'B5'!I26,"fejl i år"),0)</f>
        <v>0</v>
      </c>
      <c r="Z26" s="226">
        <f>+IFERROR(IF(Z$19=Takstblad!J$3,VLOOKUP('B5'!$A26,takstblad,10,FALSE)*'B5'!J26,"fejl i år"),0)</f>
        <v>0</v>
      </c>
      <c r="AA26" s="226">
        <f>+IFERROR(IF(AA$19=Takstblad!K$3,VLOOKUP('B5'!$A26,takstblad,10,FALSE)*'B5'!K26,"fejl i år"),0)</f>
        <v>0</v>
      </c>
      <c r="AB26" s="226">
        <f>+IFERROR(IF(AB$19=Takstblad!L$3,VLOOKUP('B5'!$A26,takstblad,10,FALSE)*'B5'!L26,"fejl i år"),0)</f>
        <v>0</v>
      </c>
      <c r="AC26" s="227">
        <f t="shared" si="8"/>
        <v>0</v>
      </c>
      <c r="AD26" s="232"/>
      <c r="AE26" s="228">
        <f t="shared" si="9"/>
        <v>0</v>
      </c>
      <c r="AF26" s="228">
        <f t="shared" si="10"/>
        <v>0</v>
      </c>
      <c r="AG26" s="232"/>
      <c r="AH26" s="228">
        <f t="shared" si="11"/>
        <v>0</v>
      </c>
      <c r="AI26" s="228">
        <f t="shared" si="12"/>
        <v>0</v>
      </c>
      <c r="AJ26" s="232"/>
      <c r="AK26" s="228">
        <f t="shared" si="13"/>
        <v>0</v>
      </c>
      <c r="AL26" s="228">
        <f t="shared" si="14"/>
        <v>0</v>
      </c>
      <c r="AM26" s="232"/>
      <c r="AN26" s="228">
        <f t="shared" si="15"/>
        <v>0</v>
      </c>
      <c r="AO26" s="228">
        <f t="shared" si="16"/>
        <v>0</v>
      </c>
      <c r="AP26" s="232"/>
      <c r="AQ26" s="228">
        <f t="shared" si="17"/>
        <v>0</v>
      </c>
      <c r="AR26" s="228">
        <f t="shared" si="18"/>
        <v>0</v>
      </c>
      <c r="AS26" s="232"/>
      <c r="AT26" s="228">
        <f t="shared" si="19"/>
        <v>0</v>
      </c>
      <c r="AU26" s="228">
        <f t="shared" si="20"/>
        <v>0</v>
      </c>
      <c r="AV26" s="232"/>
      <c r="AW26" s="228">
        <f t="shared" si="21"/>
        <v>0</v>
      </c>
      <c r="AX26" s="228">
        <f t="shared" si="22"/>
        <v>0</v>
      </c>
      <c r="AY26" s="232"/>
      <c r="AZ26" s="228">
        <f t="shared" si="23"/>
        <v>0</v>
      </c>
      <c r="BA26" s="228">
        <f t="shared" si="4"/>
        <v>0</v>
      </c>
      <c r="BB26" s="232"/>
      <c r="BC26" s="228">
        <f t="shared" si="24"/>
        <v>0</v>
      </c>
      <c r="BD26" s="228">
        <f t="shared" si="5"/>
        <v>0</v>
      </c>
      <c r="BE26" s="232"/>
      <c r="BF26" s="228">
        <f t="shared" si="25"/>
        <v>0</v>
      </c>
      <c r="BG26" s="228">
        <f t="shared" si="26"/>
        <v>0</v>
      </c>
      <c r="BH26" s="232"/>
      <c r="BI26" s="228">
        <f t="shared" si="27"/>
        <v>0</v>
      </c>
      <c r="BJ26" s="228">
        <f t="shared" si="28"/>
        <v>0</v>
      </c>
    </row>
    <row r="27" spans="1:62" ht="15.6" customHeight="1" x14ac:dyDescent="0.2">
      <c r="A27" s="7" t="s">
        <v>1314</v>
      </c>
      <c r="B27" s="4" t="str">
        <f>+VLOOKUP(A27,Takstblad!$A$5:$B$30,2,FALSE)</f>
        <v/>
      </c>
      <c r="C27" s="299"/>
      <c r="D27" s="299"/>
      <c r="E27" s="299"/>
      <c r="F27" s="299"/>
      <c r="G27" s="299"/>
      <c r="H27" s="299"/>
      <c r="I27" s="299"/>
      <c r="J27" s="299"/>
      <c r="K27" s="299"/>
      <c r="L27" s="299"/>
      <c r="M27" s="19">
        <f t="shared" si="6"/>
        <v>0</v>
      </c>
      <c r="N27" s="299"/>
      <c r="O27" s="299" t="s">
        <v>113</v>
      </c>
      <c r="Q27" s="16"/>
      <c r="R27" s="21">
        <f t="shared" si="7"/>
        <v>0</v>
      </c>
      <c r="S27" s="25">
        <f>+IFERROR(IF(S$19=Takstblad!C$3,VLOOKUP('B5'!$A27,takstblad,3,FALSE)*'B5'!C27,"fejl i år"),0)</f>
        <v>0</v>
      </c>
      <c r="T27" s="25">
        <f>+IFERROR(IF(T$19=Takstblad!D$3,VLOOKUP('B5'!$A27,takstblad,4,FALSE)*'B5'!D27,"fejl i år"),0)</f>
        <v>0</v>
      </c>
      <c r="U27" s="25">
        <f>+IFERROR(IF(U$19=Takstblad!E$3,VLOOKUP('B5'!$A27,takstblad,5,FALSE)*'B5'!E27,"fejl i år"),0)</f>
        <v>0</v>
      </c>
      <c r="V27" s="25">
        <f>+IFERROR(IF(V$19=Takstblad!F$3,VLOOKUP('B5'!$A27,takstblad,6,FALSE)*'B5'!F27,"fejl i år"),0)</f>
        <v>0</v>
      </c>
      <c r="W27" s="25">
        <f>+IFERROR(IF(W$19=Takstblad!G$3,VLOOKUP('B5'!$A27,takstblad,7,FALSE)*'B5'!G27,"fejl i år"),0)</f>
        <v>0</v>
      </c>
      <c r="X27" s="25">
        <f>+IFERROR(IF(X$19=Takstblad!H$3,VLOOKUP('B5'!$A27,takstblad,8,FALSE)*'B5'!H27,"fejl i år"),0)</f>
        <v>0</v>
      </c>
      <c r="Y27" s="25">
        <f>+IFERROR(IF(Y$19=Takstblad!I$3,VLOOKUP('B5'!$A27,takstblad,9,FALSE)*'B5'!I27,"fejl i år"),0)</f>
        <v>0</v>
      </c>
      <c r="Z27" s="25">
        <f>+IFERROR(IF(Z$19=Takstblad!J$3,VLOOKUP('B5'!$A27,takstblad,10,FALSE)*'B5'!J27,"fejl i år"),0)</f>
        <v>0</v>
      </c>
      <c r="AA27" s="25">
        <f>+IFERROR(IF(AA$19=Takstblad!K$3,VLOOKUP('B5'!$A27,takstblad,10,FALSE)*'B5'!K27,"fejl i år"),0)</f>
        <v>0</v>
      </c>
      <c r="AB27" s="25">
        <f>+IFERROR(IF(AB$19=Takstblad!L$3,VLOOKUP('B5'!$A27,takstblad,10,FALSE)*'B5'!L27,"fejl i år"),0)</f>
        <v>0</v>
      </c>
      <c r="AC27" s="21">
        <f t="shared" si="8"/>
        <v>0</v>
      </c>
      <c r="AD27" s="232"/>
      <c r="AE27" s="25">
        <f t="shared" si="9"/>
        <v>0</v>
      </c>
      <c r="AF27" s="25">
        <f t="shared" si="10"/>
        <v>0</v>
      </c>
      <c r="AG27" s="232"/>
      <c r="AH27" s="25">
        <f t="shared" si="11"/>
        <v>0</v>
      </c>
      <c r="AI27" s="25">
        <f t="shared" si="12"/>
        <v>0</v>
      </c>
      <c r="AJ27" s="232"/>
      <c r="AK27" s="25">
        <f t="shared" si="13"/>
        <v>0</v>
      </c>
      <c r="AL27" s="25">
        <f t="shared" si="14"/>
        <v>0</v>
      </c>
      <c r="AM27" s="232"/>
      <c r="AN27" s="25">
        <f t="shared" si="15"/>
        <v>0</v>
      </c>
      <c r="AO27" s="25">
        <f t="shared" si="16"/>
        <v>0</v>
      </c>
      <c r="AP27" s="232"/>
      <c r="AQ27" s="25">
        <f t="shared" si="17"/>
        <v>0</v>
      </c>
      <c r="AR27" s="25">
        <f t="shared" si="18"/>
        <v>0</v>
      </c>
      <c r="AS27" s="232"/>
      <c r="AT27" s="25">
        <f t="shared" si="19"/>
        <v>0</v>
      </c>
      <c r="AU27" s="25">
        <f t="shared" si="20"/>
        <v>0</v>
      </c>
      <c r="AV27" s="232"/>
      <c r="AW27" s="25">
        <f t="shared" si="21"/>
        <v>0</v>
      </c>
      <c r="AX27" s="25">
        <f t="shared" si="22"/>
        <v>0</v>
      </c>
      <c r="AY27" s="232"/>
      <c r="AZ27" s="25">
        <f t="shared" si="23"/>
        <v>0</v>
      </c>
      <c r="BA27" s="25">
        <f t="shared" si="4"/>
        <v>0</v>
      </c>
      <c r="BB27" s="232"/>
      <c r="BC27" s="25">
        <f t="shared" si="24"/>
        <v>0</v>
      </c>
      <c r="BD27" s="25">
        <f t="shared" si="5"/>
        <v>0</v>
      </c>
      <c r="BE27" s="232"/>
      <c r="BF27" s="25">
        <f t="shared" si="25"/>
        <v>0</v>
      </c>
      <c r="BG27" s="25">
        <f t="shared" si="26"/>
        <v>0</v>
      </c>
      <c r="BH27" s="232"/>
      <c r="BI27" s="25">
        <f t="shared" si="27"/>
        <v>0</v>
      </c>
      <c r="BJ27" s="25">
        <f t="shared" si="28"/>
        <v>0</v>
      </c>
    </row>
    <row r="28" spans="1:62" ht="15.6" customHeight="1" x14ac:dyDescent="0.2">
      <c r="A28" s="223" t="s">
        <v>1314</v>
      </c>
      <c r="B28" s="224" t="str">
        <f>+VLOOKUP(A28,Takstblad!$A$5:$B$30,2,FALSE)</f>
        <v/>
      </c>
      <c r="C28" s="299"/>
      <c r="D28" s="299"/>
      <c r="E28" s="299"/>
      <c r="F28" s="299"/>
      <c r="G28" s="299"/>
      <c r="H28" s="299"/>
      <c r="I28" s="299"/>
      <c r="J28" s="299"/>
      <c r="K28" s="299"/>
      <c r="L28" s="299"/>
      <c r="M28" s="19">
        <f t="shared" si="6"/>
        <v>0</v>
      </c>
      <c r="N28" s="299"/>
      <c r="O28" s="299" t="s">
        <v>113</v>
      </c>
      <c r="P28" s="223"/>
      <c r="Q28" s="225"/>
      <c r="R28" s="227">
        <f t="shared" si="7"/>
        <v>0</v>
      </c>
      <c r="S28" s="226">
        <f>+IFERROR(IF(S$19=Takstblad!C$3,VLOOKUP('B5'!$A28,takstblad,3,FALSE)*'B5'!C28,"fejl i år"),0)</f>
        <v>0</v>
      </c>
      <c r="T28" s="226">
        <f>+IFERROR(IF(T$19=Takstblad!D$3,VLOOKUP('B5'!$A28,takstblad,4,FALSE)*'B5'!D28,"fejl i år"),0)</f>
        <v>0</v>
      </c>
      <c r="U28" s="226">
        <f>+IFERROR(IF(U$19=Takstblad!E$3,VLOOKUP('B5'!$A28,takstblad,5,FALSE)*'B5'!E28,"fejl i år"),0)</f>
        <v>0</v>
      </c>
      <c r="V28" s="226">
        <f>+IFERROR(IF(V$19=Takstblad!F$3,VLOOKUP('B5'!$A28,takstblad,6,FALSE)*'B5'!F28,"fejl i år"),0)</f>
        <v>0</v>
      </c>
      <c r="W28" s="226">
        <f>+IFERROR(IF(W$19=Takstblad!G$3,VLOOKUP('B5'!$A28,takstblad,7,FALSE)*'B5'!G28,"fejl i år"),0)</f>
        <v>0</v>
      </c>
      <c r="X28" s="226">
        <f>+IFERROR(IF(X$19=Takstblad!H$3,VLOOKUP('B5'!$A28,takstblad,8,FALSE)*'B5'!H28,"fejl i år"),0)</f>
        <v>0</v>
      </c>
      <c r="Y28" s="226">
        <f>+IFERROR(IF(Y$19=Takstblad!I$3,VLOOKUP('B5'!$A28,takstblad,9,FALSE)*'B5'!I28,"fejl i år"),0)</f>
        <v>0</v>
      </c>
      <c r="Z28" s="226">
        <f>+IFERROR(IF(Z$19=Takstblad!J$3,VLOOKUP('B5'!$A28,takstblad,10,FALSE)*'B5'!J28,"fejl i år"),0)</f>
        <v>0</v>
      </c>
      <c r="AA28" s="226">
        <f>+IFERROR(IF(AA$19=Takstblad!K$3,VLOOKUP('B5'!$A28,takstblad,10,FALSE)*'B5'!K28,"fejl i år"),0)</f>
        <v>0</v>
      </c>
      <c r="AB28" s="226">
        <f>+IFERROR(IF(AB$19=Takstblad!L$3,VLOOKUP('B5'!$A28,takstblad,10,FALSE)*'B5'!L28,"fejl i år"),0)</f>
        <v>0</v>
      </c>
      <c r="AC28" s="227">
        <f t="shared" si="8"/>
        <v>0</v>
      </c>
      <c r="AD28" s="232"/>
      <c r="AE28" s="228">
        <f t="shared" si="9"/>
        <v>0</v>
      </c>
      <c r="AF28" s="228">
        <f t="shared" si="10"/>
        <v>0</v>
      </c>
      <c r="AG28" s="232"/>
      <c r="AH28" s="228">
        <f t="shared" si="11"/>
        <v>0</v>
      </c>
      <c r="AI28" s="228">
        <f t="shared" si="12"/>
        <v>0</v>
      </c>
      <c r="AJ28" s="232"/>
      <c r="AK28" s="228">
        <f t="shared" si="13"/>
        <v>0</v>
      </c>
      <c r="AL28" s="228">
        <f t="shared" si="14"/>
        <v>0</v>
      </c>
      <c r="AM28" s="232"/>
      <c r="AN28" s="228">
        <f t="shared" si="15"/>
        <v>0</v>
      </c>
      <c r="AO28" s="228">
        <f t="shared" si="16"/>
        <v>0</v>
      </c>
      <c r="AP28" s="232"/>
      <c r="AQ28" s="228">
        <f t="shared" si="17"/>
        <v>0</v>
      </c>
      <c r="AR28" s="228">
        <f t="shared" si="18"/>
        <v>0</v>
      </c>
      <c r="AS28" s="232"/>
      <c r="AT28" s="228">
        <f t="shared" si="19"/>
        <v>0</v>
      </c>
      <c r="AU28" s="228">
        <f t="shared" si="20"/>
        <v>0</v>
      </c>
      <c r="AV28" s="232"/>
      <c r="AW28" s="228">
        <f t="shared" si="21"/>
        <v>0</v>
      </c>
      <c r="AX28" s="228">
        <f t="shared" si="22"/>
        <v>0</v>
      </c>
      <c r="AY28" s="232"/>
      <c r="AZ28" s="228">
        <f t="shared" si="23"/>
        <v>0</v>
      </c>
      <c r="BA28" s="228">
        <f t="shared" si="4"/>
        <v>0</v>
      </c>
      <c r="BB28" s="232"/>
      <c r="BC28" s="228">
        <f t="shared" si="24"/>
        <v>0</v>
      </c>
      <c r="BD28" s="228">
        <f t="shared" si="5"/>
        <v>0</v>
      </c>
      <c r="BE28" s="232"/>
      <c r="BF28" s="228">
        <f t="shared" si="25"/>
        <v>0</v>
      </c>
      <c r="BG28" s="228">
        <f t="shared" si="26"/>
        <v>0</v>
      </c>
      <c r="BH28" s="232"/>
      <c r="BI28" s="228">
        <f t="shared" si="27"/>
        <v>0</v>
      </c>
      <c r="BJ28" s="228">
        <f t="shared" si="28"/>
        <v>0</v>
      </c>
    </row>
    <row r="29" spans="1:62" ht="15.6" customHeight="1" thickBot="1" x14ac:dyDescent="0.25">
      <c r="A29" s="7" t="s">
        <v>1314</v>
      </c>
      <c r="B29" s="4" t="str">
        <f>+VLOOKUP(A29,Takstblad!$A$5:$B$30,2,FALSE)</f>
        <v/>
      </c>
      <c r="C29" s="299"/>
      <c r="D29" s="299"/>
      <c r="E29" s="299"/>
      <c r="F29" s="299"/>
      <c r="G29" s="299"/>
      <c r="H29" s="299"/>
      <c r="I29" s="300"/>
      <c r="J29" s="300"/>
      <c r="K29" s="300"/>
      <c r="L29" s="300"/>
      <c r="M29" s="47">
        <f t="shared" si="6"/>
        <v>0</v>
      </c>
      <c r="N29" s="299"/>
      <c r="O29" s="299" t="s">
        <v>113</v>
      </c>
      <c r="Q29" s="16"/>
      <c r="R29" s="21">
        <f t="shared" si="7"/>
        <v>0</v>
      </c>
      <c r="S29" s="25">
        <f>+IFERROR(IF(S$19=Takstblad!C$3,VLOOKUP('B5'!$A29,takstblad,3,FALSE)*'B5'!C29,"fejl i år"),0)</f>
        <v>0</v>
      </c>
      <c r="T29" s="25">
        <f>+IFERROR(IF(T$19=Takstblad!D$3,VLOOKUP('B5'!$A29,takstblad,4,FALSE)*'B5'!D29,"fejl i år"),0)</f>
        <v>0</v>
      </c>
      <c r="U29" s="25">
        <f>+IFERROR(IF(U$19=Takstblad!E$3,VLOOKUP('B5'!$A29,takstblad,5,FALSE)*'B5'!E29,"fejl i år"),0)</f>
        <v>0</v>
      </c>
      <c r="V29" s="25">
        <f>+IFERROR(IF(V$19=Takstblad!F$3,VLOOKUP('B5'!$A29,takstblad,6,FALSE)*'B5'!F29,"fejl i år"),0)</f>
        <v>0</v>
      </c>
      <c r="W29" s="25">
        <f>+IFERROR(IF(W$19=Takstblad!G$3,VLOOKUP('B5'!$A29,takstblad,7,FALSE)*'B5'!G29,"fejl i år"),0)</f>
        <v>0</v>
      </c>
      <c r="X29" s="25">
        <f>+IFERROR(IF(X$19=Takstblad!H$3,VLOOKUP('B5'!$A29,takstblad,8,FALSE)*'B5'!H29,"fejl i år"),0)</f>
        <v>0</v>
      </c>
      <c r="Y29" s="25">
        <f>+IFERROR(IF(Y$19=Takstblad!I$3,VLOOKUP('B5'!$A29,takstblad,9,FALSE)*'B5'!I29,"fejl i år"),0)</f>
        <v>0</v>
      </c>
      <c r="Z29" s="25">
        <f>+IFERROR(IF(Z$19=Takstblad!J$3,VLOOKUP('B5'!$A29,takstblad,10,FALSE)*'B5'!J29,"fejl i år"),0)</f>
        <v>0</v>
      </c>
      <c r="AA29" s="25">
        <f>+IFERROR(IF(AA$19=Takstblad!K$3,VLOOKUP('B5'!$A29,takstblad,10,FALSE)*'B5'!K29,"fejl i år"),0)</f>
        <v>0</v>
      </c>
      <c r="AB29" s="25">
        <f>+IFERROR(IF(AB$19=Takstblad!L$3,VLOOKUP('B5'!$A29,takstblad,10,FALSE)*'B5'!L29,"fejl i år"),0)</f>
        <v>0</v>
      </c>
      <c r="AC29" s="21">
        <f t="shared" si="8"/>
        <v>0</v>
      </c>
      <c r="AD29" s="232"/>
      <c r="AE29" s="25">
        <f t="shared" si="9"/>
        <v>0</v>
      </c>
      <c r="AF29" s="25">
        <f t="shared" si="10"/>
        <v>0</v>
      </c>
      <c r="AG29" s="232"/>
      <c r="AH29" s="25">
        <f t="shared" si="11"/>
        <v>0</v>
      </c>
      <c r="AI29" s="25">
        <f t="shared" si="12"/>
        <v>0</v>
      </c>
      <c r="AJ29" s="232"/>
      <c r="AK29" s="25">
        <f t="shared" si="13"/>
        <v>0</v>
      </c>
      <c r="AL29" s="25">
        <f t="shared" si="14"/>
        <v>0</v>
      </c>
      <c r="AM29" s="232"/>
      <c r="AN29" s="25">
        <f t="shared" si="15"/>
        <v>0</v>
      </c>
      <c r="AO29" s="25">
        <f t="shared" si="16"/>
        <v>0</v>
      </c>
      <c r="AP29" s="232"/>
      <c r="AQ29" s="25">
        <f t="shared" si="17"/>
        <v>0</v>
      </c>
      <c r="AR29" s="25">
        <f t="shared" si="18"/>
        <v>0</v>
      </c>
      <c r="AS29" s="232"/>
      <c r="AT29" s="25">
        <f t="shared" si="19"/>
        <v>0</v>
      </c>
      <c r="AU29" s="25">
        <f t="shared" si="20"/>
        <v>0</v>
      </c>
      <c r="AV29" s="232"/>
      <c r="AW29" s="25">
        <f t="shared" si="21"/>
        <v>0</v>
      </c>
      <c r="AX29" s="25">
        <f t="shared" si="22"/>
        <v>0</v>
      </c>
      <c r="AY29" s="232"/>
      <c r="AZ29" s="25">
        <f t="shared" si="23"/>
        <v>0</v>
      </c>
      <c r="BA29" s="25">
        <f t="shared" si="4"/>
        <v>0</v>
      </c>
      <c r="BB29" s="232"/>
      <c r="BC29" s="25">
        <f t="shared" si="24"/>
        <v>0</v>
      </c>
      <c r="BD29" s="25">
        <f t="shared" ref="BD29:BD30" si="29">IFERROR(Z29/BC29,0)</f>
        <v>0</v>
      </c>
      <c r="BE29" s="232"/>
      <c r="BF29" s="25">
        <f t="shared" si="25"/>
        <v>0</v>
      </c>
      <c r="BG29" s="25">
        <f t="shared" si="26"/>
        <v>0</v>
      </c>
      <c r="BH29" s="232"/>
      <c r="BI29" s="25">
        <f t="shared" si="27"/>
        <v>0</v>
      </c>
      <c r="BJ29" s="25">
        <f t="shared" si="28"/>
        <v>0</v>
      </c>
    </row>
    <row r="30" spans="1:62" ht="15.6" customHeight="1" thickBot="1" x14ac:dyDescent="0.25">
      <c r="A30" s="4" t="s">
        <v>81</v>
      </c>
      <c r="B30" s="4"/>
      <c r="C30" s="49">
        <f t="shared" ref="C30:I30" si="30">SUM(C20:C29)</f>
        <v>0</v>
      </c>
      <c r="D30" s="49">
        <f t="shared" si="30"/>
        <v>0</v>
      </c>
      <c r="E30" s="49">
        <f t="shared" si="30"/>
        <v>0</v>
      </c>
      <c r="F30" s="49">
        <f t="shared" si="30"/>
        <v>0</v>
      </c>
      <c r="G30" s="49">
        <f t="shared" si="30"/>
        <v>0</v>
      </c>
      <c r="H30" s="49">
        <f t="shared" si="30"/>
        <v>0</v>
      </c>
      <c r="I30" s="64">
        <f t="shared" si="30"/>
        <v>0</v>
      </c>
      <c r="J30" s="64">
        <f>SUM(J20:J29)</f>
        <v>0</v>
      </c>
      <c r="K30" s="64">
        <f t="shared" ref="K30:L30" si="31">SUM(K20:K29)</f>
        <v>0</v>
      </c>
      <c r="L30" s="64">
        <f t="shared" si="31"/>
        <v>0</v>
      </c>
      <c r="M30" s="50">
        <f>SUM(M20:M29)</f>
        <v>0</v>
      </c>
      <c r="N30" s="50"/>
      <c r="O30" s="4"/>
      <c r="P30" s="4"/>
      <c r="Q30" s="23" t="s">
        <v>74</v>
      </c>
      <c r="R30" s="53">
        <f t="shared" si="7"/>
        <v>0</v>
      </c>
      <c r="S30" s="51">
        <f>SUM(S20:S29)</f>
        <v>0</v>
      </c>
      <c r="T30" s="13">
        <f t="shared" ref="T30:Z30" si="32">SUM(T20:T29)</f>
        <v>0</v>
      </c>
      <c r="U30" s="52">
        <f t="shared" si="32"/>
        <v>0</v>
      </c>
      <c r="V30" s="13">
        <f t="shared" si="32"/>
        <v>0</v>
      </c>
      <c r="W30" s="52">
        <f t="shared" si="32"/>
        <v>0</v>
      </c>
      <c r="X30" s="13">
        <f t="shared" si="32"/>
        <v>0</v>
      </c>
      <c r="Y30" s="66">
        <f t="shared" si="32"/>
        <v>0</v>
      </c>
      <c r="Z30" s="66">
        <f t="shared" si="32"/>
        <v>0</v>
      </c>
      <c r="AA30" s="66">
        <f t="shared" ref="AA30:AB30" si="33">SUM(AA20:AA29)</f>
        <v>0</v>
      </c>
      <c r="AB30" s="66">
        <f t="shared" si="33"/>
        <v>0</v>
      </c>
      <c r="AC30" s="53">
        <f t="shared" si="8"/>
        <v>0</v>
      </c>
      <c r="AD30" s="232"/>
      <c r="AE30" s="13">
        <f>SUM(AE20:AE29)</f>
        <v>0</v>
      </c>
      <c r="AF30" s="10">
        <f t="shared" si="10"/>
        <v>0</v>
      </c>
      <c r="AG30" s="232"/>
      <c r="AH30" s="13">
        <f>SUM(AH20:AH29)</f>
        <v>0</v>
      </c>
      <c r="AI30" s="10">
        <f t="shared" si="12"/>
        <v>0</v>
      </c>
      <c r="AJ30" s="233"/>
      <c r="AK30" s="13">
        <f>SUM(AK20:AK29)</f>
        <v>0</v>
      </c>
      <c r="AL30" s="10">
        <f t="shared" si="14"/>
        <v>0</v>
      </c>
      <c r="AM30" s="233"/>
      <c r="AN30" s="13">
        <f>SUM(AN20:AN29)</f>
        <v>0</v>
      </c>
      <c r="AO30" s="10">
        <f t="shared" si="16"/>
        <v>0</v>
      </c>
      <c r="AP30" s="232"/>
      <c r="AQ30" s="13">
        <f>SUM(AQ20:AQ29)</f>
        <v>0</v>
      </c>
      <c r="AR30" s="10">
        <f t="shared" si="18"/>
        <v>0</v>
      </c>
      <c r="AS30" s="232"/>
      <c r="AT30" s="13">
        <f>SUM(AT20:AT29)</f>
        <v>0</v>
      </c>
      <c r="AU30" s="10">
        <f t="shared" si="20"/>
        <v>0</v>
      </c>
      <c r="AV30" s="232"/>
      <c r="AW30" s="13">
        <f>SUM(AW20:AW29)</f>
        <v>0</v>
      </c>
      <c r="AX30" s="10">
        <f t="shared" si="22"/>
        <v>0</v>
      </c>
      <c r="AY30" s="232"/>
      <c r="AZ30" s="13">
        <f>SUM(AZ20:AZ29)</f>
        <v>0</v>
      </c>
      <c r="BA30" s="10">
        <f t="shared" ref="BA30" si="34">IFERROR(Z30/AZ30,0)</f>
        <v>0</v>
      </c>
      <c r="BB30" s="232"/>
      <c r="BC30" s="13">
        <f>SUM(BC20:BC29)</f>
        <v>0</v>
      </c>
      <c r="BD30" s="10">
        <f t="shared" si="29"/>
        <v>0</v>
      </c>
      <c r="BE30" s="232"/>
      <c r="BF30" s="13">
        <f>SUM(BF20:BF29)</f>
        <v>0</v>
      </c>
      <c r="BG30" s="10">
        <f t="shared" ref="BG30" si="35">IFERROR(AC30/BF30,0)</f>
        <v>0</v>
      </c>
      <c r="BH30" s="232"/>
      <c r="BI30" s="13">
        <f>SUM(BI20:BI29)</f>
        <v>0</v>
      </c>
      <c r="BJ30" s="10">
        <f t="shared" ref="BJ30" si="36">IFERROR(AF30/BI30,0)</f>
        <v>0</v>
      </c>
    </row>
    <row r="31" spans="1:62" ht="15.6" customHeight="1" x14ac:dyDescent="0.2">
      <c r="A31" s="4"/>
      <c r="B31" s="5"/>
      <c r="C31" s="5"/>
      <c r="D31" s="5"/>
      <c r="E31" s="5"/>
      <c r="F31" s="5"/>
      <c r="G31" s="5"/>
      <c r="H31" s="5"/>
      <c r="I31" s="5"/>
      <c r="J31" s="5"/>
      <c r="K31" s="5"/>
      <c r="L31" s="5"/>
      <c r="M31" s="5"/>
      <c r="N31" s="5"/>
      <c r="O31" s="5"/>
      <c r="P31" s="5"/>
      <c r="Q31" s="23"/>
      <c r="R31" s="5"/>
      <c r="S31" s="5"/>
      <c r="T31" s="5"/>
      <c r="U31" s="5"/>
      <c r="V31" s="5"/>
      <c r="W31" s="5"/>
      <c r="X31" s="5"/>
      <c r="Y31" s="5"/>
      <c r="Z31" s="5"/>
      <c r="AA31" s="5"/>
      <c r="AB31" s="5"/>
      <c r="AC31" s="5"/>
      <c r="AD31" s="232"/>
      <c r="AE31" s="5"/>
      <c r="AF31" s="5"/>
      <c r="AG31" s="232"/>
      <c r="AH31" s="5"/>
      <c r="AI31" s="5"/>
      <c r="AJ31" s="232"/>
      <c r="AK31" s="5"/>
      <c r="AL31" s="5"/>
      <c r="AM31" s="232"/>
      <c r="AN31" s="5"/>
      <c r="AO31" s="5"/>
      <c r="AP31" s="232"/>
      <c r="AQ31" s="5"/>
      <c r="AR31" s="5"/>
      <c r="AS31" s="232"/>
      <c r="AT31" s="5"/>
      <c r="AU31" s="5"/>
      <c r="AV31" s="232"/>
      <c r="AW31" s="5"/>
      <c r="AX31" s="5"/>
      <c r="AY31" s="232"/>
      <c r="AZ31" s="5"/>
      <c r="BA31" s="5"/>
      <c r="BB31" s="232"/>
      <c r="BC31" s="5"/>
      <c r="BD31" s="5"/>
      <c r="BE31" s="232"/>
      <c r="BF31" s="5"/>
      <c r="BG31" s="5"/>
      <c r="BH31" s="232"/>
      <c r="BI31" s="5"/>
      <c r="BJ31" s="5"/>
    </row>
    <row r="32" spans="1:62" s="9" customFormat="1" ht="15.6" customHeight="1" x14ac:dyDescent="0.2">
      <c r="A32" s="4" t="s">
        <v>80</v>
      </c>
      <c r="B32" s="8"/>
      <c r="C32" s="8">
        <f t="shared" ref="C32:L32" si="37">+C19</f>
        <v>2025</v>
      </c>
      <c r="D32" s="8">
        <f t="shared" si="37"/>
        <v>2026</v>
      </c>
      <c r="E32" s="8">
        <f t="shared" si="37"/>
        <v>2027</v>
      </c>
      <c r="F32" s="8">
        <f t="shared" si="37"/>
        <v>2028</v>
      </c>
      <c r="G32" s="8">
        <f t="shared" si="37"/>
        <v>2029</v>
      </c>
      <c r="H32" s="8">
        <f t="shared" si="37"/>
        <v>2030</v>
      </c>
      <c r="I32" s="8">
        <f t="shared" si="37"/>
        <v>2031</v>
      </c>
      <c r="J32" s="8">
        <f t="shared" si="37"/>
        <v>2032</v>
      </c>
      <c r="K32" s="8">
        <f t="shared" si="37"/>
        <v>2033</v>
      </c>
      <c r="L32" s="8">
        <f t="shared" si="37"/>
        <v>2034</v>
      </c>
      <c r="M32" s="8" t="s">
        <v>34</v>
      </c>
      <c r="N32" s="8"/>
      <c r="O32" s="8"/>
      <c r="P32" s="8"/>
      <c r="Q32" s="23" t="s">
        <v>82</v>
      </c>
      <c r="R32" s="8" t="s">
        <v>34</v>
      </c>
      <c r="S32" s="8">
        <f t="shared" ref="S32:AB32" si="38">+C19</f>
        <v>2025</v>
      </c>
      <c r="T32" s="8">
        <f t="shared" si="38"/>
        <v>2026</v>
      </c>
      <c r="U32" s="8">
        <f t="shared" si="38"/>
        <v>2027</v>
      </c>
      <c r="V32" s="8">
        <f t="shared" si="38"/>
        <v>2028</v>
      </c>
      <c r="W32" s="8">
        <f t="shared" si="38"/>
        <v>2029</v>
      </c>
      <c r="X32" s="8">
        <f t="shared" si="38"/>
        <v>2030</v>
      </c>
      <c r="Y32" s="8">
        <f t="shared" si="38"/>
        <v>2031</v>
      </c>
      <c r="Z32" s="8">
        <f t="shared" si="38"/>
        <v>2032</v>
      </c>
      <c r="AA32" s="8">
        <f t="shared" si="38"/>
        <v>2033</v>
      </c>
      <c r="AB32" s="8">
        <f t="shared" si="38"/>
        <v>2034</v>
      </c>
      <c r="AC32" s="8" t="s">
        <v>34</v>
      </c>
      <c r="AD32" s="233"/>
      <c r="AE32" s="503" t="s">
        <v>34</v>
      </c>
      <c r="AF32" s="502"/>
      <c r="AG32" s="232"/>
      <c r="AH32" s="501">
        <f>+AH19</f>
        <v>2025</v>
      </c>
      <c r="AI32" s="502"/>
      <c r="AJ32" s="232"/>
      <c r="AK32" s="501">
        <f>+AK19</f>
        <v>2026</v>
      </c>
      <c r="AL32" s="502"/>
      <c r="AM32" s="232"/>
      <c r="AN32" s="501">
        <f>+AN19</f>
        <v>2027</v>
      </c>
      <c r="AO32" s="502"/>
      <c r="AP32" s="232"/>
      <c r="AQ32" s="501">
        <f>+AQ19</f>
        <v>2028</v>
      </c>
      <c r="AR32" s="502"/>
      <c r="AS32" s="232"/>
      <c r="AT32" s="501">
        <f>+AT19</f>
        <v>2029</v>
      </c>
      <c r="AU32" s="502"/>
      <c r="AV32" s="232"/>
      <c r="AW32" s="501">
        <f>+AW19</f>
        <v>2030</v>
      </c>
      <c r="AX32" s="502"/>
      <c r="AY32" s="232"/>
      <c r="AZ32" s="501">
        <f>+AZ19</f>
        <v>2031</v>
      </c>
      <c r="BA32" s="502"/>
      <c r="BB32" s="232"/>
      <c r="BC32" s="501">
        <f>+BC19</f>
        <v>2032</v>
      </c>
      <c r="BD32" s="502"/>
      <c r="BE32" s="232"/>
      <c r="BF32" s="501">
        <f>+BF19</f>
        <v>2033</v>
      </c>
      <c r="BG32" s="502"/>
      <c r="BH32" s="232"/>
      <c r="BI32" s="501">
        <f>+BI19</f>
        <v>2034</v>
      </c>
      <c r="BJ32" s="502"/>
    </row>
    <row r="33" spans="1:66" ht="15.6" customHeight="1" x14ac:dyDescent="0.2">
      <c r="A33" s="223" t="s">
        <v>1314</v>
      </c>
      <c r="B33" s="224">
        <f>+VLOOKUP(A33,Takstblad!$A$33:$B$51,2,FALSE)</f>
        <v>0</v>
      </c>
      <c r="C33" s="299"/>
      <c r="D33" s="299"/>
      <c r="E33" s="299"/>
      <c r="F33" s="299"/>
      <c r="G33" s="299"/>
      <c r="H33" s="299"/>
      <c r="I33" s="299"/>
      <c r="J33" s="299"/>
      <c r="K33" s="299"/>
      <c r="L33" s="299"/>
      <c r="M33" s="19">
        <f>SUM(C33:L33)</f>
        <v>0</v>
      </c>
      <c r="N33" s="299"/>
      <c r="O33" s="299" t="s">
        <v>113</v>
      </c>
      <c r="P33" s="223"/>
      <c r="Q33" s="229"/>
      <c r="R33" s="227">
        <f t="shared" ref="R33:R46" si="39">+AC33</f>
        <v>0</v>
      </c>
      <c r="S33" s="226">
        <f>+IFERROR(IF(S$19=Takstblad!C$3,VLOOKUP('B5'!$A33,takstblad,3,FALSE)*'B5'!C33,"fejl i år"),0)</f>
        <v>0</v>
      </c>
      <c r="T33" s="226">
        <f>+IFERROR(IF(T$19=Takstblad!D$3,VLOOKUP('B5'!$A33,takstblad,4,FALSE)*'B5'!D33,"fejl i år"),0)</f>
        <v>0</v>
      </c>
      <c r="U33" s="226">
        <f>+IFERROR(IF(U$19=Takstblad!E$3,VLOOKUP('B5'!$A33,takstblad,5,FALSE)*'B5'!E33,"fejl i år"),0)</f>
        <v>0</v>
      </c>
      <c r="V33" s="226">
        <f>+IFERROR(IF(V$19=Takstblad!F$3,VLOOKUP('B5'!$A33,takstblad,6,FALSE)*'B5'!F33,"fejl i år"),0)</f>
        <v>0</v>
      </c>
      <c r="W33" s="226">
        <f>+IFERROR(IF(W$19=Takstblad!G$3,VLOOKUP('B5'!$A33,takstblad,7,FALSE)*'B5'!G33,"fejl i år"),0)</f>
        <v>0</v>
      </c>
      <c r="X33" s="226">
        <f>+IFERROR(IF(X$19=Takstblad!H$3,VLOOKUP('B5'!$A33,takstblad,8,FALSE)*'B5'!H33,"fejl i år"),0)</f>
        <v>0</v>
      </c>
      <c r="Y33" s="226">
        <f>+IFERROR(IF(Y$19=Takstblad!I$3,VLOOKUP('B5'!$A33,takstblad,9,FALSE)*'B5'!I33,"fejl i år"),0)</f>
        <v>0</v>
      </c>
      <c r="Z33" s="226">
        <f>+IFERROR(IF(Z$19=Takstblad!J$3,VLOOKUP('B5'!$A33,takstblad,10,FALSE)*'B5'!J33,"fejl i år"),0)</f>
        <v>0</v>
      </c>
      <c r="AA33" s="226">
        <f>+IFERROR(IF(AA$19=Takstblad!K$3,VLOOKUP('B5'!$A33,takstblad,10,FALSE)*'B5'!K33,"fejl i år"),0)</f>
        <v>0</v>
      </c>
      <c r="AB33" s="226">
        <f>+IFERROR(IF(AB$19=Takstblad!L$3,VLOOKUP('B5'!$A33,takstblad,10,FALSE)*'B5'!L33,"fejl i år"),0)</f>
        <v>0</v>
      </c>
      <c r="AC33" s="227">
        <f>SUM(S33:AB33)</f>
        <v>0</v>
      </c>
      <c r="AD33" s="232"/>
      <c r="AE33" s="228">
        <f t="shared" ref="AE33:AE42" si="40">+M33*($C$7/12)</f>
        <v>0</v>
      </c>
      <c r="AF33" s="228">
        <f t="shared" ref="AF33:AF43" si="41">IFERROR(AC33/AE33,0)</f>
        <v>0</v>
      </c>
      <c r="AG33" s="232"/>
      <c r="AH33" s="228">
        <f t="shared" ref="AH33:AH43" si="42">+C33*($C$7/12)</f>
        <v>0</v>
      </c>
      <c r="AI33" s="228">
        <f t="shared" ref="AI33:AI46" si="43">IFERROR(S33/AH33,0)</f>
        <v>0</v>
      </c>
      <c r="AJ33" s="232"/>
      <c r="AK33" s="226">
        <f t="shared" ref="AK33:AK43" si="44">+D33*($C$7/12)</f>
        <v>0</v>
      </c>
      <c r="AL33" s="226">
        <f t="shared" ref="AL33:AL46" si="45">IFERROR(T33/AK33,0)</f>
        <v>0</v>
      </c>
      <c r="AM33" s="232"/>
      <c r="AN33" s="226">
        <f t="shared" ref="AN33:AN43" si="46">+E33*($C$7/12)</f>
        <v>0</v>
      </c>
      <c r="AO33" s="226">
        <f t="shared" ref="AO33:AO46" si="47">IFERROR(U33/AN33,0)</f>
        <v>0</v>
      </c>
      <c r="AP33" s="232"/>
      <c r="AQ33" s="226">
        <f t="shared" ref="AQ33:AQ43" si="48">+F33*($C$7/12)</f>
        <v>0</v>
      </c>
      <c r="AR33" s="226">
        <f t="shared" ref="AR33:AR46" si="49">IFERROR(V33/AQ33,0)</f>
        <v>0</v>
      </c>
      <c r="AS33" s="232"/>
      <c r="AT33" s="226">
        <f t="shared" ref="AT33:AT43" si="50">+G33*($C$7/12)</f>
        <v>0</v>
      </c>
      <c r="AU33" s="226">
        <f t="shared" ref="AU33:AU46" si="51">IFERROR(W33/AT33,0)</f>
        <v>0</v>
      </c>
      <c r="AV33" s="232"/>
      <c r="AW33" s="226">
        <f t="shared" ref="AW33:AW43" si="52">+H33*($C$7/12)</f>
        <v>0</v>
      </c>
      <c r="AX33" s="226">
        <f t="shared" ref="AX33:AX46" si="53">IFERROR(X33/AW33,0)</f>
        <v>0</v>
      </c>
      <c r="AY33" s="232"/>
      <c r="AZ33" s="226">
        <f>+I33*($C$7/12)</f>
        <v>0</v>
      </c>
      <c r="BA33" s="226">
        <f>IFERROR(Y33/AZ33,0)</f>
        <v>0</v>
      </c>
      <c r="BB33" s="232"/>
      <c r="BC33" s="226">
        <f>+J33*($C$7/12)</f>
        <v>0</v>
      </c>
      <c r="BD33" s="226">
        <f>IFERROR(Z33/BC33,0)</f>
        <v>0</v>
      </c>
      <c r="BE33" s="232"/>
      <c r="BF33" s="226">
        <f>+K33*($C$7/12)</f>
        <v>0</v>
      </c>
      <c r="BG33" s="226">
        <f>IFERROR(AB33/BF33,0)</f>
        <v>0</v>
      </c>
      <c r="BH33" s="232"/>
      <c r="BI33" s="226">
        <f>+L33*($C$7/12)</f>
        <v>0</v>
      </c>
      <c r="BJ33" s="226">
        <f>IFERROR(AB33/BI33,0)</f>
        <v>0</v>
      </c>
    </row>
    <row r="34" spans="1:66" ht="15.6" customHeight="1" x14ac:dyDescent="0.2">
      <c r="A34" s="7" t="s">
        <v>1314</v>
      </c>
      <c r="B34" s="4">
        <f>+VLOOKUP(A34,Takstblad!$A$33:$B$51,2,FALSE)</f>
        <v>0</v>
      </c>
      <c r="C34" s="301"/>
      <c r="D34" s="299"/>
      <c r="E34" s="299"/>
      <c r="F34" s="299"/>
      <c r="G34" s="299"/>
      <c r="H34" s="299"/>
      <c r="I34" s="299"/>
      <c r="J34" s="299"/>
      <c r="K34" s="299"/>
      <c r="L34" s="299"/>
      <c r="M34" s="19">
        <f t="shared" ref="M34:M46" si="54">SUM(C34:L34)</f>
        <v>0</v>
      </c>
      <c r="N34" s="299"/>
      <c r="O34" s="299" t="s">
        <v>113</v>
      </c>
      <c r="Q34" s="26"/>
      <c r="R34" s="21">
        <f>+AC34</f>
        <v>0</v>
      </c>
      <c r="S34" s="25">
        <f>+IFERROR(IF(S$19=Takstblad!C$3,VLOOKUP('B5'!$A34,takstblad,3,FALSE)*'B5'!C34,"fejl i år"),0)</f>
        <v>0</v>
      </c>
      <c r="T34" s="25">
        <f>+IFERROR(IF(T$19=Takstblad!D$3,VLOOKUP('B5'!$A34,takstblad,4,FALSE)*'B5'!D34,"fejl i år"),0)</f>
        <v>0</v>
      </c>
      <c r="U34" s="25">
        <f>+IFERROR(IF(U$19=Takstblad!E$3,VLOOKUP('B5'!$A34,takstblad,5,FALSE)*'B5'!E34,"fejl i år"),0)</f>
        <v>0</v>
      </c>
      <c r="V34" s="25">
        <f>+IFERROR(IF(V$19=Takstblad!F$3,VLOOKUP('B5'!$A34,takstblad,6,FALSE)*'B5'!F34,"fejl i år"),0)</f>
        <v>0</v>
      </c>
      <c r="W34" s="25">
        <f>+IFERROR(IF(W$19=Takstblad!G$3,VLOOKUP('B5'!$A34,takstblad,7,FALSE)*'B5'!G34,"fejl i år"),0)</f>
        <v>0</v>
      </c>
      <c r="X34" s="25">
        <f>+IFERROR(IF(X$19=Takstblad!H$3,VLOOKUP('B5'!$A34,takstblad,8,FALSE)*'B5'!H34,"fejl i år"),0)</f>
        <v>0</v>
      </c>
      <c r="Y34" s="25">
        <f>+IFERROR(IF(Y$19=Takstblad!I$3,VLOOKUP('B5'!$A34,takstblad,9,FALSE)*'B5'!I34,"fejl i år"),0)</f>
        <v>0</v>
      </c>
      <c r="Z34" s="25">
        <f>+IFERROR(IF(Z$19=Takstblad!J$3,VLOOKUP('B5'!$A34,takstblad,10,FALSE)*'B5'!J34,"fejl i år"),0)</f>
        <v>0</v>
      </c>
      <c r="AA34" s="25">
        <f>+IFERROR(IF(AA$19=Takstblad!K$3,VLOOKUP('B5'!$A34,takstblad,10,FALSE)*'B5'!K34,"fejl i år"),0)</f>
        <v>0</v>
      </c>
      <c r="AB34" s="25">
        <f>+IFERROR(IF(AB$19=Takstblad!L$3,VLOOKUP('B5'!$A34,takstblad,10,FALSE)*'B5'!L34,"fejl i år"),0)</f>
        <v>0</v>
      </c>
      <c r="AC34" s="21">
        <f t="shared" ref="AC34:AC46" si="55">SUM(S34:AB34)</f>
        <v>0</v>
      </c>
      <c r="AD34" s="232"/>
      <c r="AE34" s="25">
        <f t="shared" si="40"/>
        <v>0</v>
      </c>
      <c r="AF34" s="25">
        <f t="shared" si="41"/>
        <v>0</v>
      </c>
      <c r="AG34" s="232"/>
      <c r="AH34" s="25">
        <f t="shared" si="42"/>
        <v>0</v>
      </c>
      <c r="AI34" s="25">
        <f t="shared" si="43"/>
        <v>0</v>
      </c>
      <c r="AJ34" s="232"/>
      <c r="AK34" s="25">
        <f t="shared" si="44"/>
        <v>0</v>
      </c>
      <c r="AL34" s="25">
        <f t="shared" si="45"/>
        <v>0</v>
      </c>
      <c r="AM34" s="232"/>
      <c r="AN34" s="25">
        <f t="shared" si="46"/>
        <v>0</v>
      </c>
      <c r="AO34" s="25">
        <f t="shared" si="47"/>
        <v>0</v>
      </c>
      <c r="AP34" s="232"/>
      <c r="AQ34" s="25">
        <f t="shared" si="48"/>
        <v>0</v>
      </c>
      <c r="AR34" s="25">
        <f t="shared" si="49"/>
        <v>0</v>
      </c>
      <c r="AS34" s="232"/>
      <c r="AT34" s="25">
        <f>+G34*($C$7/12)</f>
        <v>0</v>
      </c>
      <c r="AU34" s="25">
        <f>IFERROR(W34/AT34,0)</f>
        <v>0</v>
      </c>
      <c r="AV34" s="232"/>
      <c r="AW34" s="25">
        <f t="shared" si="52"/>
        <v>0</v>
      </c>
      <c r="AX34" s="25">
        <f t="shared" si="53"/>
        <v>0</v>
      </c>
      <c r="AY34" s="232"/>
      <c r="AZ34" s="25">
        <f t="shared" ref="AZ34:AZ43" si="56">+I34*($C$7/12)</f>
        <v>0</v>
      </c>
      <c r="BA34" s="25">
        <f t="shared" ref="BA34:BA46" si="57">IFERROR(Y34/AZ34,0)</f>
        <v>0</v>
      </c>
      <c r="BB34" s="232"/>
      <c r="BC34" s="25">
        <f t="shared" ref="BC34:BC43" si="58">+J34*($C$7/12)</f>
        <v>0</v>
      </c>
      <c r="BD34" s="25">
        <f t="shared" ref="BD34:BD46" si="59">IFERROR(Z34/BC34,0)</f>
        <v>0</v>
      </c>
      <c r="BE34" s="232"/>
      <c r="BF34" s="25">
        <f t="shared" ref="BF34:BF45" si="60">+K34*($C$7/12)</f>
        <v>0</v>
      </c>
      <c r="BG34" s="25">
        <f t="shared" ref="BG34:BG45" si="61">IFERROR(AB34/BF34,0)</f>
        <v>0</v>
      </c>
      <c r="BH34" s="232"/>
      <c r="BI34" s="25">
        <f t="shared" ref="BI34:BI45" si="62">+L34*($C$7/12)</f>
        <v>0</v>
      </c>
      <c r="BJ34" s="25">
        <f t="shared" ref="BJ34:BJ45" si="63">IFERROR(AB34/BI34,0)</f>
        <v>0</v>
      </c>
    </row>
    <row r="35" spans="1:66" ht="15.6" customHeight="1" x14ac:dyDescent="0.2">
      <c r="A35" s="223" t="s">
        <v>1314</v>
      </c>
      <c r="B35" s="224">
        <f>+VLOOKUP(A35,Takstblad!$A$33:$B$51,2,FALSE)</f>
        <v>0</v>
      </c>
      <c r="C35" s="299"/>
      <c r="D35" s="299"/>
      <c r="E35" s="299"/>
      <c r="F35" s="299"/>
      <c r="G35" s="299"/>
      <c r="H35" s="299"/>
      <c r="I35" s="299"/>
      <c r="J35" s="299"/>
      <c r="K35" s="299"/>
      <c r="L35" s="299"/>
      <c r="M35" s="19">
        <f t="shared" si="54"/>
        <v>0</v>
      </c>
      <c r="N35" s="299"/>
      <c r="O35" s="299" t="s">
        <v>113</v>
      </c>
      <c r="P35" s="223"/>
      <c r="Q35" s="229"/>
      <c r="R35" s="227">
        <f>+AC35</f>
        <v>0</v>
      </c>
      <c r="S35" s="226">
        <f>+IFERROR(IF(S$19=Takstblad!C$3,VLOOKUP('B1'!$A35,takstblad,3,FALSE)*'B1'!C35,"fejl i år"),0)</f>
        <v>0</v>
      </c>
      <c r="T35" s="226">
        <f>+IFERROR(IF(T$19=Takstblad!D$3,VLOOKUP('B5'!$A35,takstblad,4,FALSE)*'B5'!D35,"fejl i år"),0)</f>
        <v>0</v>
      </c>
      <c r="U35" s="226">
        <f>+IFERROR(IF(U$19=Takstblad!E$3,VLOOKUP('B5'!$A35,takstblad,5,FALSE)*'B5'!E35,"fejl i år"),0)</f>
        <v>0</v>
      </c>
      <c r="V35" s="226">
        <f>+IFERROR(IF(V$19=Takstblad!F$3,VLOOKUP('B5'!$A35,takstblad,6,FALSE)*'B5'!F35,"fejl i år"),0)</f>
        <v>0</v>
      </c>
      <c r="W35" s="226">
        <f>+IFERROR(IF(W$19=Takstblad!G$3,VLOOKUP('B5'!$A35,takstblad,7,FALSE)*'B5'!G35,"fejl i år"),0)</f>
        <v>0</v>
      </c>
      <c r="X35" s="226">
        <f>+IFERROR(IF(X$19=Takstblad!H$3,VLOOKUP('B5'!$A35,takstblad,8,FALSE)*'B5'!H35,"fejl i år"),0)</f>
        <v>0</v>
      </c>
      <c r="Y35" s="226">
        <f>+IFERROR(IF(Y$19=Takstblad!I$3,VLOOKUP('B5'!$A35,takstblad,9,FALSE)*'B5'!I35,"fejl i år"),0)</f>
        <v>0</v>
      </c>
      <c r="Z35" s="226">
        <f>+IFERROR(IF(Z$19=Takstblad!J$3,VLOOKUP('B5'!$A35,takstblad,10,FALSE)*'B5'!J35,"fejl i år"),0)</f>
        <v>0</v>
      </c>
      <c r="AA35" s="226">
        <f>+IFERROR(IF(AA$19=Takstblad!K$3,VLOOKUP('B5'!$A35,takstblad,10,FALSE)*'B5'!K35,"fejl i år"),0)</f>
        <v>0</v>
      </c>
      <c r="AB35" s="226">
        <f>+IFERROR(IF(AB$19=Takstblad!L$3,VLOOKUP('B5'!$A35,takstblad,10,FALSE)*'B5'!L35,"fejl i år"),0)</f>
        <v>0</v>
      </c>
      <c r="AC35" s="227">
        <f t="shared" si="55"/>
        <v>0</v>
      </c>
      <c r="AD35" s="232"/>
      <c r="AE35" s="228">
        <f t="shared" si="40"/>
        <v>0</v>
      </c>
      <c r="AF35" s="228">
        <f t="shared" si="41"/>
        <v>0</v>
      </c>
      <c r="AG35" s="232"/>
      <c r="AH35" s="228">
        <f t="shared" si="42"/>
        <v>0</v>
      </c>
      <c r="AI35" s="228">
        <f t="shared" si="43"/>
        <v>0</v>
      </c>
      <c r="AJ35" s="232"/>
      <c r="AK35" s="226">
        <f t="shared" si="44"/>
        <v>0</v>
      </c>
      <c r="AL35" s="226">
        <f t="shared" si="45"/>
        <v>0</v>
      </c>
      <c r="AM35" s="232"/>
      <c r="AN35" s="226">
        <f t="shared" si="46"/>
        <v>0</v>
      </c>
      <c r="AO35" s="226">
        <f t="shared" si="47"/>
        <v>0</v>
      </c>
      <c r="AP35" s="232"/>
      <c r="AQ35" s="226">
        <f t="shared" si="48"/>
        <v>0</v>
      </c>
      <c r="AR35" s="226">
        <f t="shared" si="49"/>
        <v>0</v>
      </c>
      <c r="AS35" s="232"/>
      <c r="AT35" s="226">
        <f t="shared" si="50"/>
        <v>0</v>
      </c>
      <c r="AU35" s="226">
        <f t="shared" si="51"/>
        <v>0</v>
      </c>
      <c r="AV35" s="232"/>
      <c r="AW35" s="226">
        <f t="shared" si="52"/>
        <v>0</v>
      </c>
      <c r="AX35" s="226">
        <f t="shared" si="53"/>
        <v>0</v>
      </c>
      <c r="AY35" s="232"/>
      <c r="AZ35" s="226">
        <f t="shared" si="56"/>
        <v>0</v>
      </c>
      <c r="BA35" s="226">
        <f t="shared" si="57"/>
        <v>0</v>
      </c>
      <c r="BB35" s="232"/>
      <c r="BC35" s="226">
        <f t="shared" si="58"/>
        <v>0</v>
      </c>
      <c r="BD35" s="226">
        <f t="shared" si="59"/>
        <v>0</v>
      </c>
      <c r="BE35" s="232"/>
      <c r="BF35" s="226">
        <f t="shared" si="60"/>
        <v>0</v>
      </c>
      <c r="BG35" s="226">
        <f t="shared" si="61"/>
        <v>0</v>
      </c>
      <c r="BH35" s="232"/>
      <c r="BI35" s="226">
        <f t="shared" si="62"/>
        <v>0</v>
      </c>
      <c r="BJ35" s="226">
        <f t="shared" si="63"/>
        <v>0</v>
      </c>
    </row>
    <row r="36" spans="1:66" ht="15.6" customHeight="1" x14ac:dyDescent="0.2">
      <c r="A36" s="7" t="s">
        <v>1314</v>
      </c>
      <c r="B36" s="4">
        <f>+VLOOKUP(A36,Takstblad!$A$33:$B$51,2,FALSE)</f>
        <v>0</v>
      </c>
      <c r="C36" s="299"/>
      <c r="D36" s="299"/>
      <c r="E36" s="299"/>
      <c r="F36" s="299"/>
      <c r="G36" s="299"/>
      <c r="H36" s="299"/>
      <c r="I36" s="299"/>
      <c r="J36" s="299"/>
      <c r="K36" s="299"/>
      <c r="L36" s="299"/>
      <c r="M36" s="19">
        <f t="shared" si="54"/>
        <v>0</v>
      </c>
      <c r="N36" s="299"/>
      <c r="O36" s="299" t="s">
        <v>113</v>
      </c>
      <c r="Q36" s="26"/>
      <c r="R36" s="21">
        <f t="shared" si="39"/>
        <v>0</v>
      </c>
      <c r="S36" s="25">
        <f>+IFERROR(IF(S$19=Takstblad!C$3,VLOOKUP('B5'!$A36,takstblad,3,FALSE)*'B5'!C36,"fejl i år"),0)</f>
        <v>0</v>
      </c>
      <c r="T36" s="25">
        <f>+IFERROR(IF(T$19=Takstblad!D$3,VLOOKUP('B5'!$A36,takstblad,4,FALSE)*'B5'!D36,"fejl i år"),0)</f>
        <v>0</v>
      </c>
      <c r="U36" s="25">
        <f>+IFERROR(IF(U$19=Takstblad!E$3,VLOOKUP('B5'!$A36,takstblad,5,FALSE)*'B5'!E36,"fejl i år"),0)</f>
        <v>0</v>
      </c>
      <c r="V36" s="25">
        <f>+IFERROR(IF(V$19=Takstblad!F$3,VLOOKUP('B5'!$A36,takstblad,6,FALSE)*'B5'!F36,"fejl i år"),0)</f>
        <v>0</v>
      </c>
      <c r="W36" s="25">
        <f>+IFERROR(IF(W$19=Takstblad!G$3,VLOOKUP('B5'!$A36,takstblad,7,FALSE)*'B5'!G36,"fejl i år"),0)</f>
        <v>0</v>
      </c>
      <c r="X36" s="25">
        <f>+IFERROR(IF(X$19=Takstblad!H$3,VLOOKUP('B5'!$A36,takstblad,8,FALSE)*'B5'!H36,"fejl i år"),0)</f>
        <v>0</v>
      </c>
      <c r="Y36" s="25">
        <f>+IFERROR(IF(Y$19=Takstblad!I$3,VLOOKUP('B5'!$A36,takstblad,9,FALSE)*'B5'!I36,"fejl i år"),0)</f>
        <v>0</v>
      </c>
      <c r="Z36" s="25">
        <f>+IFERROR(IF(Z$19=Takstblad!J$3,VLOOKUP('B5'!$A36,takstblad,10,FALSE)*'B5'!J36,"fejl i år"),0)</f>
        <v>0</v>
      </c>
      <c r="AA36" s="25">
        <f>+IFERROR(IF(AA$19=Takstblad!K$3,VLOOKUP('B5'!$A36,takstblad,10,FALSE)*'B5'!K36,"fejl i år"),0)</f>
        <v>0</v>
      </c>
      <c r="AB36" s="25">
        <f>+IFERROR(IF(AB$19=Takstblad!L$3,VLOOKUP('B5'!$A36,takstblad,10,FALSE)*'B5'!L36,"fejl i år"),0)</f>
        <v>0</v>
      </c>
      <c r="AC36" s="21">
        <f t="shared" si="55"/>
        <v>0</v>
      </c>
      <c r="AD36" s="232"/>
      <c r="AE36" s="25">
        <f t="shared" si="40"/>
        <v>0</v>
      </c>
      <c r="AF36" s="25">
        <f t="shared" si="41"/>
        <v>0</v>
      </c>
      <c r="AG36" s="232"/>
      <c r="AH36" s="25">
        <f t="shared" si="42"/>
        <v>0</v>
      </c>
      <c r="AI36" s="25">
        <f t="shared" si="43"/>
        <v>0</v>
      </c>
      <c r="AJ36" s="232"/>
      <c r="AK36" s="25">
        <f t="shared" si="44"/>
        <v>0</v>
      </c>
      <c r="AL36" s="25">
        <f t="shared" si="45"/>
        <v>0</v>
      </c>
      <c r="AM36" s="232"/>
      <c r="AN36" s="25">
        <f t="shared" si="46"/>
        <v>0</v>
      </c>
      <c r="AO36" s="25">
        <f t="shared" si="47"/>
        <v>0</v>
      </c>
      <c r="AP36" s="232"/>
      <c r="AQ36" s="25">
        <f t="shared" si="48"/>
        <v>0</v>
      </c>
      <c r="AR36" s="25">
        <f t="shared" si="49"/>
        <v>0</v>
      </c>
      <c r="AS36" s="232"/>
      <c r="AT36" s="25">
        <f t="shared" si="50"/>
        <v>0</v>
      </c>
      <c r="AU36" s="25">
        <f t="shared" si="51"/>
        <v>0</v>
      </c>
      <c r="AV36" s="232"/>
      <c r="AW36" s="25">
        <f t="shared" si="52"/>
        <v>0</v>
      </c>
      <c r="AX36" s="25">
        <f t="shared" si="53"/>
        <v>0</v>
      </c>
      <c r="AY36" s="232"/>
      <c r="AZ36" s="25">
        <f t="shared" si="56"/>
        <v>0</v>
      </c>
      <c r="BA36" s="25">
        <f t="shared" si="57"/>
        <v>0</v>
      </c>
      <c r="BB36" s="232"/>
      <c r="BC36" s="25">
        <f t="shared" si="58"/>
        <v>0</v>
      </c>
      <c r="BD36" s="25">
        <f t="shared" si="59"/>
        <v>0</v>
      </c>
      <c r="BE36" s="232"/>
      <c r="BF36" s="25">
        <f t="shared" si="60"/>
        <v>0</v>
      </c>
      <c r="BG36" s="25">
        <f t="shared" si="61"/>
        <v>0</v>
      </c>
      <c r="BH36" s="232"/>
      <c r="BI36" s="25">
        <f t="shared" si="62"/>
        <v>0</v>
      </c>
      <c r="BJ36" s="25">
        <f t="shared" si="63"/>
        <v>0</v>
      </c>
    </row>
    <row r="37" spans="1:66" ht="15.6" customHeight="1" x14ac:dyDescent="0.2">
      <c r="A37" s="223" t="s">
        <v>1314</v>
      </c>
      <c r="B37" s="224">
        <f>+VLOOKUP(A37,Takstblad!$A$33:$B$51,2,FALSE)</f>
        <v>0</v>
      </c>
      <c r="C37" s="299"/>
      <c r="D37" s="299"/>
      <c r="E37" s="299"/>
      <c r="F37" s="299"/>
      <c r="G37" s="299"/>
      <c r="H37" s="299"/>
      <c r="I37" s="299"/>
      <c r="J37" s="299"/>
      <c r="K37" s="299"/>
      <c r="L37" s="299"/>
      <c r="M37" s="19">
        <f t="shared" si="54"/>
        <v>0</v>
      </c>
      <c r="N37" s="299"/>
      <c r="O37" s="299" t="s">
        <v>113</v>
      </c>
      <c r="P37" s="223"/>
      <c r="Q37" s="229"/>
      <c r="R37" s="227">
        <f t="shared" si="39"/>
        <v>0</v>
      </c>
      <c r="S37" s="226">
        <f>+IFERROR(IF(S$19=Takstblad!C$3,VLOOKUP('B5'!$A37,takstblad,3,FALSE)*'B5'!C37,"fejl i år"),0)</f>
        <v>0</v>
      </c>
      <c r="T37" s="226">
        <f>+IFERROR(IF(T$19=Takstblad!D$3,VLOOKUP('B5'!$A37,takstblad,4,FALSE)*'B5'!D37,"fejl i år"),0)</f>
        <v>0</v>
      </c>
      <c r="U37" s="226">
        <f>+IFERROR(IF(U$19=Takstblad!E$3,VLOOKUP('B5'!$A37,takstblad,5,FALSE)*'B5'!E37,"fejl i år"),0)</f>
        <v>0</v>
      </c>
      <c r="V37" s="226">
        <f>+IFERROR(IF(V$19=Takstblad!F$3,VLOOKUP('B5'!$A37,takstblad,6,FALSE)*'B5'!F37,"fejl i år"),0)</f>
        <v>0</v>
      </c>
      <c r="W37" s="226">
        <f>+IFERROR(IF(W$19=Takstblad!G$3,VLOOKUP('B5'!$A37,takstblad,7,FALSE)*'B5'!G37,"fejl i år"),0)</f>
        <v>0</v>
      </c>
      <c r="X37" s="226">
        <f>+IFERROR(IF(X$19=Takstblad!H$3,VLOOKUP('B5'!$A37,takstblad,8,FALSE)*'B5'!H37,"fejl i år"),0)</f>
        <v>0</v>
      </c>
      <c r="Y37" s="226">
        <f>+IFERROR(IF(Y$19=Takstblad!I$3,VLOOKUP('B5'!$A37,takstblad,9,FALSE)*'B5'!I37,"fejl i år"),0)</f>
        <v>0</v>
      </c>
      <c r="Z37" s="226">
        <f>+IFERROR(IF(Z$19=Takstblad!J$3,VLOOKUP('B5'!$A37,takstblad,10,FALSE)*'B5'!J37,"fejl i år"),0)</f>
        <v>0</v>
      </c>
      <c r="AA37" s="226">
        <f>+IFERROR(IF(AA$19=Takstblad!K$3,VLOOKUP('B5'!$A37,takstblad,10,FALSE)*'B5'!K37,"fejl i år"),0)</f>
        <v>0</v>
      </c>
      <c r="AB37" s="226">
        <f>+IFERROR(IF(AB$19=Takstblad!L$3,VLOOKUP('B5'!$A37,takstblad,10,FALSE)*'B5'!L37,"fejl i år"),0)</f>
        <v>0</v>
      </c>
      <c r="AC37" s="227">
        <f t="shared" si="55"/>
        <v>0</v>
      </c>
      <c r="AD37" s="232"/>
      <c r="AE37" s="228">
        <f t="shared" si="40"/>
        <v>0</v>
      </c>
      <c r="AF37" s="228">
        <f t="shared" si="41"/>
        <v>0</v>
      </c>
      <c r="AG37" s="232"/>
      <c r="AH37" s="228">
        <f t="shared" si="42"/>
        <v>0</v>
      </c>
      <c r="AI37" s="228">
        <f t="shared" si="43"/>
        <v>0</v>
      </c>
      <c r="AJ37" s="232"/>
      <c r="AK37" s="226">
        <f t="shared" si="44"/>
        <v>0</v>
      </c>
      <c r="AL37" s="226">
        <f t="shared" si="45"/>
        <v>0</v>
      </c>
      <c r="AM37" s="232"/>
      <c r="AN37" s="226">
        <f t="shared" si="46"/>
        <v>0</v>
      </c>
      <c r="AO37" s="226">
        <f t="shared" si="47"/>
        <v>0</v>
      </c>
      <c r="AP37" s="232"/>
      <c r="AQ37" s="226">
        <f t="shared" si="48"/>
        <v>0</v>
      </c>
      <c r="AR37" s="226">
        <f t="shared" si="49"/>
        <v>0</v>
      </c>
      <c r="AS37" s="232"/>
      <c r="AT37" s="226">
        <f t="shared" si="50"/>
        <v>0</v>
      </c>
      <c r="AU37" s="226">
        <f t="shared" si="51"/>
        <v>0</v>
      </c>
      <c r="AV37" s="232"/>
      <c r="AW37" s="226">
        <f t="shared" si="52"/>
        <v>0</v>
      </c>
      <c r="AX37" s="226">
        <f t="shared" si="53"/>
        <v>0</v>
      </c>
      <c r="AY37" s="232"/>
      <c r="AZ37" s="226">
        <f t="shared" si="56"/>
        <v>0</v>
      </c>
      <c r="BA37" s="226">
        <f t="shared" si="57"/>
        <v>0</v>
      </c>
      <c r="BB37" s="232"/>
      <c r="BC37" s="226">
        <f t="shared" si="58"/>
        <v>0</v>
      </c>
      <c r="BD37" s="226">
        <f t="shared" si="59"/>
        <v>0</v>
      </c>
      <c r="BE37" s="232"/>
      <c r="BF37" s="226">
        <f t="shared" si="60"/>
        <v>0</v>
      </c>
      <c r="BG37" s="226">
        <f t="shared" si="61"/>
        <v>0</v>
      </c>
      <c r="BH37" s="232"/>
      <c r="BI37" s="226">
        <f t="shared" si="62"/>
        <v>0</v>
      </c>
      <c r="BJ37" s="226">
        <f t="shared" si="63"/>
        <v>0</v>
      </c>
    </row>
    <row r="38" spans="1:66" ht="15.6" customHeight="1" x14ac:dyDescent="0.2">
      <c r="A38" s="7" t="s">
        <v>1314</v>
      </c>
      <c r="B38" s="4">
        <f>+VLOOKUP(A38,Takstblad!$A$33:$B$51,2,FALSE)</f>
        <v>0</v>
      </c>
      <c r="C38" s="299"/>
      <c r="D38" s="299"/>
      <c r="E38" s="299"/>
      <c r="F38" s="299"/>
      <c r="G38" s="299"/>
      <c r="H38" s="299"/>
      <c r="I38" s="299"/>
      <c r="J38" s="299"/>
      <c r="K38" s="299"/>
      <c r="L38" s="299"/>
      <c r="M38" s="19">
        <f t="shared" si="54"/>
        <v>0</v>
      </c>
      <c r="N38" s="299"/>
      <c r="O38" s="299" t="s">
        <v>113</v>
      </c>
      <c r="Q38" s="26"/>
      <c r="R38" s="21">
        <f t="shared" si="39"/>
        <v>0</v>
      </c>
      <c r="S38" s="25">
        <f>+IFERROR(IF(S$19=Takstblad!C$3,VLOOKUP('B5'!$A38,takstblad,3,FALSE)*'B5'!C38,"fejl i år"),0)</f>
        <v>0</v>
      </c>
      <c r="T38" s="25">
        <f>+IFERROR(IF(T$19=Takstblad!D$3,VLOOKUP('B5'!$A38,takstblad,4,FALSE)*'B5'!D38,"fejl i år"),0)</f>
        <v>0</v>
      </c>
      <c r="U38" s="25">
        <f>+IFERROR(IF(U$19=Takstblad!E$3,VLOOKUP('B5'!$A38,takstblad,5,FALSE)*'B5'!E38,"fejl i år"),0)</f>
        <v>0</v>
      </c>
      <c r="V38" s="25">
        <f>+IFERROR(IF(V$19=Takstblad!F$3,VLOOKUP('B5'!$A38,takstblad,6,FALSE)*'B5'!F38,"fejl i år"),0)</f>
        <v>0</v>
      </c>
      <c r="W38" s="25">
        <f>+IFERROR(IF(W$19=Takstblad!G$3,VLOOKUP('B5'!$A38,takstblad,7,FALSE)*'B5'!G38,"fejl i år"),0)</f>
        <v>0</v>
      </c>
      <c r="X38" s="25">
        <f>+IFERROR(IF(X$19=Takstblad!H$3,VLOOKUP('B5'!$A38,takstblad,8,FALSE)*'B5'!H38,"fejl i år"),0)</f>
        <v>0</v>
      </c>
      <c r="Y38" s="25">
        <f>+IFERROR(IF(Y$19=Takstblad!I$3,VLOOKUP('B5'!$A38,takstblad,9,FALSE)*'B5'!I38,"fejl i år"),0)</f>
        <v>0</v>
      </c>
      <c r="Z38" s="25">
        <f>+IFERROR(IF(Z$19=Takstblad!J$3,VLOOKUP('B5'!$A38,takstblad,10,FALSE)*'B5'!J38,"fejl i år"),0)</f>
        <v>0</v>
      </c>
      <c r="AA38" s="25">
        <f>+IFERROR(IF(AA$19=Takstblad!K$3,VLOOKUP('B5'!$A38,takstblad,10,FALSE)*'B5'!K38,"fejl i år"),0)</f>
        <v>0</v>
      </c>
      <c r="AB38" s="25">
        <f>+IFERROR(IF(AB$19=Takstblad!L$3,VLOOKUP('B5'!$A38,takstblad,10,FALSE)*'B5'!L38,"fejl i år"),0)</f>
        <v>0</v>
      </c>
      <c r="AC38" s="21">
        <f t="shared" si="55"/>
        <v>0</v>
      </c>
      <c r="AD38" s="232"/>
      <c r="AE38" s="25">
        <f t="shared" si="40"/>
        <v>0</v>
      </c>
      <c r="AF38" s="25">
        <f t="shared" si="41"/>
        <v>0</v>
      </c>
      <c r="AG38" s="232"/>
      <c r="AH38" s="25">
        <f t="shared" si="42"/>
        <v>0</v>
      </c>
      <c r="AI38" s="25">
        <f t="shared" si="43"/>
        <v>0</v>
      </c>
      <c r="AJ38" s="232"/>
      <c r="AK38" s="25">
        <f t="shared" si="44"/>
        <v>0</v>
      </c>
      <c r="AL38" s="25">
        <f t="shared" si="45"/>
        <v>0</v>
      </c>
      <c r="AM38" s="232"/>
      <c r="AN38" s="25">
        <f t="shared" si="46"/>
        <v>0</v>
      </c>
      <c r="AO38" s="25">
        <f t="shared" si="47"/>
        <v>0</v>
      </c>
      <c r="AP38" s="232"/>
      <c r="AQ38" s="25">
        <f t="shared" si="48"/>
        <v>0</v>
      </c>
      <c r="AR38" s="25">
        <f t="shared" si="49"/>
        <v>0</v>
      </c>
      <c r="AS38" s="232"/>
      <c r="AT38" s="25">
        <f t="shared" si="50"/>
        <v>0</v>
      </c>
      <c r="AU38" s="25">
        <f t="shared" si="51"/>
        <v>0</v>
      </c>
      <c r="AV38" s="232"/>
      <c r="AW38" s="25">
        <f t="shared" si="52"/>
        <v>0</v>
      </c>
      <c r="AX38" s="25">
        <f t="shared" si="53"/>
        <v>0</v>
      </c>
      <c r="AY38" s="232"/>
      <c r="AZ38" s="25">
        <f t="shared" si="56"/>
        <v>0</v>
      </c>
      <c r="BA38" s="25">
        <f t="shared" si="57"/>
        <v>0</v>
      </c>
      <c r="BB38" s="232"/>
      <c r="BC38" s="25">
        <f t="shared" si="58"/>
        <v>0</v>
      </c>
      <c r="BD38" s="25">
        <f t="shared" si="59"/>
        <v>0</v>
      </c>
      <c r="BE38" s="232"/>
      <c r="BF38" s="25">
        <f t="shared" si="60"/>
        <v>0</v>
      </c>
      <c r="BG38" s="25">
        <f t="shared" si="61"/>
        <v>0</v>
      </c>
      <c r="BH38" s="232"/>
      <c r="BI38" s="25">
        <f t="shared" si="62"/>
        <v>0</v>
      </c>
      <c r="BJ38" s="25">
        <f t="shared" si="63"/>
        <v>0</v>
      </c>
    </row>
    <row r="39" spans="1:66" ht="15.6" customHeight="1" x14ac:dyDescent="0.2">
      <c r="A39" s="223" t="s">
        <v>1314</v>
      </c>
      <c r="B39" s="224">
        <f>+VLOOKUP(A39,Takstblad!$A$33:$B$51,2,FALSE)</f>
        <v>0</v>
      </c>
      <c r="C39" s="299"/>
      <c r="D39" s="299"/>
      <c r="E39" s="299"/>
      <c r="F39" s="299"/>
      <c r="G39" s="299"/>
      <c r="H39" s="299"/>
      <c r="I39" s="299"/>
      <c r="J39" s="299"/>
      <c r="K39" s="299"/>
      <c r="L39" s="299"/>
      <c r="M39" s="19">
        <f t="shared" si="54"/>
        <v>0</v>
      </c>
      <c r="N39" s="299"/>
      <c r="O39" s="299" t="s">
        <v>113</v>
      </c>
      <c r="P39" s="223"/>
      <c r="Q39" s="229"/>
      <c r="R39" s="227">
        <f t="shared" si="39"/>
        <v>0</v>
      </c>
      <c r="S39" s="226">
        <f>+IFERROR(IF(S$19=Takstblad!C$3,VLOOKUP('B5'!$A39,takstblad,3,FALSE)*'B5'!C39,"fejl i år"),0)</f>
        <v>0</v>
      </c>
      <c r="T39" s="226">
        <f>+IFERROR(IF(T$19=Takstblad!D$3,VLOOKUP('B5'!$A39,takstblad,4,FALSE)*'B5'!D39,"fejl i år"),0)</f>
        <v>0</v>
      </c>
      <c r="U39" s="226">
        <f>+IFERROR(IF(U$19=Takstblad!E$3,VLOOKUP('B5'!$A39,takstblad,5,FALSE)*'B5'!E39,"fejl i år"),0)</f>
        <v>0</v>
      </c>
      <c r="V39" s="226">
        <f>+IFERROR(IF(V$19=Takstblad!F$3,VLOOKUP('B5'!$A39,takstblad,6,FALSE)*'B5'!F39,"fejl i år"),0)</f>
        <v>0</v>
      </c>
      <c r="W39" s="226">
        <f>+IFERROR(IF(W$19=Takstblad!G$3,VLOOKUP('B5'!$A39,takstblad,7,FALSE)*'B5'!G39,"fejl i år"),0)</f>
        <v>0</v>
      </c>
      <c r="X39" s="226">
        <f>+IFERROR(IF(X$19=Takstblad!H$3,VLOOKUP('B5'!$A39,takstblad,8,FALSE)*'B5'!H39,"fejl i år"),0)</f>
        <v>0</v>
      </c>
      <c r="Y39" s="226">
        <f>+IFERROR(IF(Y$19=Takstblad!I$3,VLOOKUP('B5'!$A39,takstblad,9,FALSE)*'B5'!I39,"fejl i år"),0)</f>
        <v>0</v>
      </c>
      <c r="Z39" s="226">
        <f>+IFERROR(IF(Z$19=Takstblad!J$3,VLOOKUP('B5'!$A39,takstblad,10,FALSE)*'B5'!J39,"fejl i år"),0)</f>
        <v>0</v>
      </c>
      <c r="AA39" s="226">
        <f>+IFERROR(IF(AA$19=Takstblad!K$3,VLOOKUP('B5'!$A39,takstblad,10,FALSE)*'B5'!K39,"fejl i år"),0)</f>
        <v>0</v>
      </c>
      <c r="AB39" s="226">
        <f>+IFERROR(IF(AB$19=Takstblad!L$3,VLOOKUP('B5'!$A39,takstblad,10,FALSE)*'B5'!L39,"fejl i år"),0)</f>
        <v>0</v>
      </c>
      <c r="AC39" s="227">
        <f t="shared" si="55"/>
        <v>0</v>
      </c>
      <c r="AD39" s="232"/>
      <c r="AE39" s="228">
        <f t="shared" si="40"/>
        <v>0</v>
      </c>
      <c r="AF39" s="228">
        <f t="shared" si="41"/>
        <v>0</v>
      </c>
      <c r="AG39" s="232"/>
      <c r="AH39" s="228">
        <f t="shared" si="42"/>
        <v>0</v>
      </c>
      <c r="AI39" s="228">
        <f t="shared" si="43"/>
        <v>0</v>
      </c>
      <c r="AJ39" s="232"/>
      <c r="AK39" s="226">
        <f t="shared" si="44"/>
        <v>0</v>
      </c>
      <c r="AL39" s="226">
        <f t="shared" si="45"/>
        <v>0</v>
      </c>
      <c r="AM39" s="232"/>
      <c r="AN39" s="226">
        <f t="shared" si="46"/>
        <v>0</v>
      </c>
      <c r="AO39" s="226">
        <f t="shared" si="47"/>
        <v>0</v>
      </c>
      <c r="AP39" s="232"/>
      <c r="AQ39" s="226">
        <f t="shared" si="48"/>
        <v>0</v>
      </c>
      <c r="AR39" s="226">
        <f t="shared" si="49"/>
        <v>0</v>
      </c>
      <c r="AS39" s="232"/>
      <c r="AT39" s="226">
        <f t="shared" si="50"/>
        <v>0</v>
      </c>
      <c r="AU39" s="226">
        <f t="shared" si="51"/>
        <v>0</v>
      </c>
      <c r="AV39" s="232"/>
      <c r="AW39" s="226">
        <f t="shared" si="52"/>
        <v>0</v>
      </c>
      <c r="AX39" s="226">
        <f t="shared" si="53"/>
        <v>0</v>
      </c>
      <c r="AY39" s="232"/>
      <c r="AZ39" s="226">
        <f t="shared" si="56"/>
        <v>0</v>
      </c>
      <c r="BA39" s="226">
        <f t="shared" si="57"/>
        <v>0</v>
      </c>
      <c r="BB39" s="232"/>
      <c r="BC39" s="226">
        <f t="shared" si="58"/>
        <v>0</v>
      </c>
      <c r="BD39" s="226">
        <f t="shared" si="59"/>
        <v>0</v>
      </c>
      <c r="BE39" s="232"/>
      <c r="BF39" s="226">
        <f t="shared" si="60"/>
        <v>0</v>
      </c>
      <c r="BG39" s="226">
        <f t="shared" si="61"/>
        <v>0</v>
      </c>
      <c r="BH39" s="232"/>
      <c r="BI39" s="226">
        <f t="shared" si="62"/>
        <v>0</v>
      </c>
      <c r="BJ39" s="226">
        <f t="shared" si="63"/>
        <v>0</v>
      </c>
    </row>
    <row r="40" spans="1:66" ht="15.6" customHeight="1" x14ac:dyDescent="0.2">
      <c r="A40" s="7" t="s">
        <v>1314</v>
      </c>
      <c r="B40" s="4">
        <f>+VLOOKUP(A40,Takstblad!$A$33:$B$51,2,FALSE)</f>
        <v>0</v>
      </c>
      <c r="C40" s="299"/>
      <c r="D40" s="299"/>
      <c r="E40" s="299"/>
      <c r="F40" s="299"/>
      <c r="G40" s="299"/>
      <c r="H40" s="299"/>
      <c r="I40" s="299"/>
      <c r="J40" s="299"/>
      <c r="K40" s="299"/>
      <c r="L40" s="299"/>
      <c r="M40" s="19">
        <f t="shared" si="54"/>
        <v>0</v>
      </c>
      <c r="N40" s="299"/>
      <c r="O40" s="299" t="s">
        <v>113</v>
      </c>
      <c r="Q40" s="26"/>
      <c r="R40" s="21">
        <f t="shared" si="39"/>
        <v>0</v>
      </c>
      <c r="S40" s="25">
        <f>+IFERROR(IF(S$19=Takstblad!C$3,VLOOKUP('B5'!$A40,takstblad,3,FALSE)*'B5'!C40,"fejl i år"),0)</f>
        <v>0</v>
      </c>
      <c r="T40" s="25">
        <f>+IFERROR(IF(T$19=Takstblad!D$3,VLOOKUP('B5'!$A40,takstblad,4,FALSE)*'B5'!D40,"fejl i år"),0)</f>
        <v>0</v>
      </c>
      <c r="U40" s="25">
        <f>+IFERROR(IF(U$19=Takstblad!E$3,VLOOKUP('B5'!$A40,takstblad,5,FALSE)*'B5'!E40,"fejl i år"),0)</f>
        <v>0</v>
      </c>
      <c r="V40" s="25">
        <f>+IFERROR(IF(V$19=Takstblad!F$3,VLOOKUP('B5'!$A40,takstblad,6,FALSE)*'B5'!F40,"fejl i år"),0)</f>
        <v>0</v>
      </c>
      <c r="W40" s="25">
        <f>+IFERROR(IF(W$19=Takstblad!G$3,VLOOKUP('B5'!$A40,takstblad,7,FALSE)*'B5'!G40,"fejl i år"),0)</f>
        <v>0</v>
      </c>
      <c r="X40" s="25">
        <f>+IFERROR(IF(X$19=Takstblad!H$3,VLOOKUP('B5'!$A40,takstblad,8,FALSE)*'B5'!H40,"fejl i år"),0)</f>
        <v>0</v>
      </c>
      <c r="Y40" s="25">
        <f>+IFERROR(IF(Y$19=Takstblad!I$3,VLOOKUP('B5'!$A40,takstblad,9,FALSE)*'B5'!I40,"fejl i år"),0)</f>
        <v>0</v>
      </c>
      <c r="Z40" s="25">
        <f>+IFERROR(IF(Z$19=Takstblad!J$3,VLOOKUP('B5'!$A40,takstblad,10,FALSE)*'B5'!J40,"fejl i år"),0)</f>
        <v>0</v>
      </c>
      <c r="AA40" s="25">
        <f>+IFERROR(IF(AA$19=Takstblad!K$3,VLOOKUP('B5'!$A40,takstblad,10,FALSE)*'B5'!K40,"fejl i år"),0)</f>
        <v>0</v>
      </c>
      <c r="AB40" s="25">
        <f>+IFERROR(IF(AB$19=Takstblad!L$3,VLOOKUP('B5'!$A40,takstblad,10,FALSE)*'B5'!L40,"fejl i år"),0)</f>
        <v>0</v>
      </c>
      <c r="AC40" s="21">
        <f t="shared" si="55"/>
        <v>0</v>
      </c>
      <c r="AD40" s="232"/>
      <c r="AE40" s="25">
        <f t="shared" si="40"/>
        <v>0</v>
      </c>
      <c r="AF40" s="25">
        <f t="shared" si="41"/>
        <v>0</v>
      </c>
      <c r="AG40" s="232"/>
      <c r="AH40" s="25">
        <f t="shared" si="42"/>
        <v>0</v>
      </c>
      <c r="AI40" s="25">
        <f t="shared" si="43"/>
        <v>0</v>
      </c>
      <c r="AJ40" s="232"/>
      <c r="AK40" s="25">
        <f t="shared" si="44"/>
        <v>0</v>
      </c>
      <c r="AL40" s="25">
        <f t="shared" si="45"/>
        <v>0</v>
      </c>
      <c r="AM40" s="232"/>
      <c r="AN40" s="25">
        <f t="shared" si="46"/>
        <v>0</v>
      </c>
      <c r="AO40" s="25">
        <f t="shared" si="47"/>
        <v>0</v>
      </c>
      <c r="AP40" s="232"/>
      <c r="AQ40" s="25">
        <f t="shared" si="48"/>
        <v>0</v>
      </c>
      <c r="AR40" s="25">
        <f t="shared" si="49"/>
        <v>0</v>
      </c>
      <c r="AS40" s="232"/>
      <c r="AT40" s="25">
        <f t="shared" si="50"/>
        <v>0</v>
      </c>
      <c r="AU40" s="25">
        <f t="shared" si="51"/>
        <v>0</v>
      </c>
      <c r="AV40" s="232"/>
      <c r="AW40" s="25">
        <f t="shared" si="52"/>
        <v>0</v>
      </c>
      <c r="AX40" s="25">
        <f t="shared" si="53"/>
        <v>0</v>
      </c>
      <c r="AY40" s="232"/>
      <c r="AZ40" s="25">
        <f t="shared" si="56"/>
        <v>0</v>
      </c>
      <c r="BA40" s="25">
        <f t="shared" si="57"/>
        <v>0</v>
      </c>
      <c r="BB40" s="232"/>
      <c r="BC40" s="25">
        <f t="shared" si="58"/>
        <v>0</v>
      </c>
      <c r="BD40" s="25">
        <f t="shared" si="59"/>
        <v>0</v>
      </c>
      <c r="BE40" s="232"/>
      <c r="BF40" s="25">
        <f t="shared" si="60"/>
        <v>0</v>
      </c>
      <c r="BG40" s="25">
        <f t="shared" si="61"/>
        <v>0</v>
      </c>
      <c r="BH40" s="232"/>
      <c r="BI40" s="25">
        <f t="shared" si="62"/>
        <v>0</v>
      </c>
      <c r="BJ40" s="25">
        <f t="shared" si="63"/>
        <v>0</v>
      </c>
    </row>
    <row r="41" spans="1:66" ht="15.6" customHeight="1" x14ac:dyDescent="0.2">
      <c r="A41" s="223" t="s">
        <v>1314</v>
      </c>
      <c r="B41" s="224">
        <f>+VLOOKUP(A41,Takstblad!$A$33:$B$51,2,FALSE)</f>
        <v>0</v>
      </c>
      <c r="C41" s="299"/>
      <c r="D41" s="299"/>
      <c r="E41" s="299"/>
      <c r="F41" s="299"/>
      <c r="G41" s="299"/>
      <c r="H41" s="299"/>
      <c r="I41" s="299"/>
      <c r="J41" s="299"/>
      <c r="K41" s="299"/>
      <c r="L41" s="299"/>
      <c r="M41" s="19">
        <f t="shared" si="54"/>
        <v>0</v>
      </c>
      <c r="N41" s="299"/>
      <c r="O41" s="299" t="s">
        <v>113</v>
      </c>
      <c r="P41" s="223"/>
      <c r="Q41" s="229"/>
      <c r="R41" s="227">
        <f t="shared" si="39"/>
        <v>0</v>
      </c>
      <c r="S41" s="226">
        <f>+IFERROR(IF(S$19=Takstblad!C$3,VLOOKUP('B5'!$A41,takstblad,3,FALSE)*'B5'!C41,"fejl i år"),0)</f>
        <v>0</v>
      </c>
      <c r="T41" s="226">
        <f>+IFERROR(IF(T$19=Takstblad!D$3,VLOOKUP('B5'!$A41,takstblad,4,FALSE)*'B5'!D41,"fejl i år"),0)</f>
        <v>0</v>
      </c>
      <c r="U41" s="226">
        <f>+IFERROR(IF(U$19=Takstblad!E$3,VLOOKUP('B5'!$A41,takstblad,5,FALSE)*'B5'!E41,"fejl i år"),0)</f>
        <v>0</v>
      </c>
      <c r="V41" s="226">
        <f>+IFERROR(IF(V$19=Takstblad!F$3,VLOOKUP('B5'!$A41,takstblad,6,FALSE)*'B5'!F41,"fejl i år"),0)</f>
        <v>0</v>
      </c>
      <c r="W41" s="226">
        <f>+IFERROR(IF(W$19=Takstblad!G$3,VLOOKUP('B5'!$A41,takstblad,7,FALSE)*'B5'!G41,"fejl i år"),0)</f>
        <v>0</v>
      </c>
      <c r="X41" s="226">
        <f>+IFERROR(IF(X$19=Takstblad!H$3,VLOOKUP('B5'!$A41,takstblad,8,FALSE)*'B5'!H41,"fejl i år"),0)</f>
        <v>0</v>
      </c>
      <c r="Y41" s="226">
        <f>+IFERROR(IF(Y$19=Takstblad!I$3,VLOOKUP('B5'!$A41,takstblad,9,FALSE)*'B5'!I41,"fejl i år"),0)</f>
        <v>0</v>
      </c>
      <c r="Z41" s="226">
        <f>+IFERROR(IF(Z$19=Takstblad!J$3,VLOOKUP('B5'!$A41,takstblad,10,FALSE)*'B5'!J41,"fejl i år"),0)</f>
        <v>0</v>
      </c>
      <c r="AA41" s="226">
        <f>+IFERROR(IF(AA$19=Takstblad!K$3,VLOOKUP('B5'!$A41,takstblad,10,FALSE)*'B5'!K41,"fejl i år"),0)</f>
        <v>0</v>
      </c>
      <c r="AB41" s="226">
        <f>+IFERROR(IF(AB$19=Takstblad!L$3,VLOOKUP('B5'!$A41,takstblad,10,FALSE)*'B5'!L41,"fejl i år"),0)</f>
        <v>0</v>
      </c>
      <c r="AC41" s="227">
        <f t="shared" si="55"/>
        <v>0</v>
      </c>
      <c r="AD41" s="232"/>
      <c r="AE41" s="228">
        <f t="shared" si="40"/>
        <v>0</v>
      </c>
      <c r="AF41" s="228">
        <f t="shared" si="41"/>
        <v>0</v>
      </c>
      <c r="AG41" s="232"/>
      <c r="AH41" s="228">
        <f t="shared" si="42"/>
        <v>0</v>
      </c>
      <c r="AI41" s="228">
        <f t="shared" si="43"/>
        <v>0</v>
      </c>
      <c r="AJ41" s="232"/>
      <c r="AK41" s="226">
        <f t="shared" si="44"/>
        <v>0</v>
      </c>
      <c r="AL41" s="226">
        <f t="shared" si="45"/>
        <v>0</v>
      </c>
      <c r="AM41" s="232"/>
      <c r="AN41" s="226">
        <f t="shared" si="46"/>
        <v>0</v>
      </c>
      <c r="AO41" s="226">
        <f t="shared" si="47"/>
        <v>0</v>
      </c>
      <c r="AP41" s="232"/>
      <c r="AQ41" s="226">
        <f t="shared" si="48"/>
        <v>0</v>
      </c>
      <c r="AR41" s="226">
        <f t="shared" si="49"/>
        <v>0</v>
      </c>
      <c r="AS41" s="232"/>
      <c r="AT41" s="226">
        <f t="shared" si="50"/>
        <v>0</v>
      </c>
      <c r="AU41" s="226">
        <f t="shared" si="51"/>
        <v>0</v>
      </c>
      <c r="AV41" s="232"/>
      <c r="AW41" s="226">
        <f t="shared" si="52"/>
        <v>0</v>
      </c>
      <c r="AX41" s="226">
        <f t="shared" si="53"/>
        <v>0</v>
      </c>
      <c r="AY41" s="232"/>
      <c r="AZ41" s="226">
        <f t="shared" si="56"/>
        <v>0</v>
      </c>
      <c r="BA41" s="226">
        <f t="shared" si="57"/>
        <v>0</v>
      </c>
      <c r="BB41" s="232"/>
      <c r="BC41" s="226">
        <f t="shared" si="58"/>
        <v>0</v>
      </c>
      <c r="BD41" s="226">
        <f t="shared" si="59"/>
        <v>0</v>
      </c>
      <c r="BE41" s="232"/>
      <c r="BF41" s="226">
        <f t="shared" si="60"/>
        <v>0</v>
      </c>
      <c r="BG41" s="226">
        <f t="shared" si="61"/>
        <v>0</v>
      </c>
      <c r="BH41" s="232"/>
      <c r="BI41" s="226">
        <f t="shared" si="62"/>
        <v>0</v>
      </c>
      <c r="BJ41" s="226">
        <f t="shared" si="63"/>
        <v>0</v>
      </c>
    </row>
    <row r="42" spans="1:66" ht="15.6" customHeight="1" x14ac:dyDescent="0.2">
      <c r="A42" s="7" t="s">
        <v>1314</v>
      </c>
      <c r="B42" s="4">
        <f>+VLOOKUP(A42,Takstblad!$A$33:$B$51,2,FALSE)</f>
        <v>0</v>
      </c>
      <c r="C42" s="299"/>
      <c r="D42" s="299"/>
      <c r="E42" s="299"/>
      <c r="F42" s="299"/>
      <c r="G42" s="299"/>
      <c r="H42" s="299"/>
      <c r="I42" s="299"/>
      <c r="J42" s="299"/>
      <c r="K42" s="299"/>
      <c r="L42" s="299"/>
      <c r="M42" s="19">
        <f t="shared" si="54"/>
        <v>0</v>
      </c>
      <c r="N42" s="299"/>
      <c r="O42" s="299" t="s">
        <v>113</v>
      </c>
      <c r="Q42" s="23"/>
      <c r="R42" s="21">
        <f t="shared" si="39"/>
        <v>0</v>
      </c>
      <c r="S42" s="25">
        <f>+IFERROR(IF(S$19=Takstblad!C$3,VLOOKUP('B5'!$A42,takstblad,3,FALSE)*'B5'!C42,"fejl i år"),0)</f>
        <v>0</v>
      </c>
      <c r="T42" s="25">
        <f>+IFERROR(IF(T$19=Takstblad!D$3,VLOOKUP('B5'!$A42,takstblad,4,FALSE)*'B5'!D42,"fejl i år"),0)</f>
        <v>0</v>
      </c>
      <c r="U42" s="25">
        <f>+IFERROR(IF(U$19=Takstblad!E$3,VLOOKUP('B5'!$A42,takstblad,5,FALSE)*'B5'!E42,"fejl i år"),0)</f>
        <v>0</v>
      </c>
      <c r="V42" s="25">
        <f>+IFERROR(IF(V$19=Takstblad!F$3,VLOOKUP('B5'!$A42,takstblad,6,FALSE)*'B5'!F42,"fejl i år"),0)</f>
        <v>0</v>
      </c>
      <c r="W42" s="25">
        <f>+IFERROR(IF(W$19=Takstblad!G$3,VLOOKUP('B5'!$A42,takstblad,7,FALSE)*'B5'!G42,"fejl i år"),0)</f>
        <v>0</v>
      </c>
      <c r="X42" s="25">
        <f>+IFERROR(IF(X$19=Takstblad!H$3,VLOOKUP('B5'!$A42,takstblad,8,FALSE)*'B5'!H42,"fejl i år"),0)</f>
        <v>0</v>
      </c>
      <c r="Y42" s="25">
        <f>+IFERROR(IF(Y$19=Takstblad!I$3,VLOOKUP('B5'!$A42,takstblad,9,FALSE)*'B5'!I42,"fejl i år"),0)</f>
        <v>0</v>
      </c>
      <c r="Z42" s="25">
        <f>+IFERROR(IF(Z$19=Takstblad!J$3,VLOOKUP('B5'!$A42,takstblad,10,FALSE)*'B5'!J42,"fejl i år"),0)</f>
        <v>0</v>
      </c>
      <c r="AA42" s="25">
        <f>+IFERROR(IF(AA$19=Takstblad!K$3,VLOOKUP('B5'!$A42,takstblad,10,FALSE)*'B5'!K42,"fejl i år"),0)</f>
        <v>0</v>
      </c>
      <c r="AB42" s="25">
        <f>+IFERROR(IF(AB$19=Takstblad!L$3,VLOOKUP('B5'!$A42,takstblad,10,FALSE)*'B5'!L42,"fejl i år"),0)</f>
        <v>0</v>
      </c>
      <c r="AC42" s="21">
        <f t="shared" si="55"/>
        <v>0</v>
      </c>
      <c r="AD42" s="232"/>
      <c r="AE42" s="25">
        <f t="shared" si="40"/>
        <v>0</v>
      </c>
      <c r="AF42" s="25">
        <f t="shared" si="41"/>
        <v>0</v>
      </c>
      <c r="AG42" s="232"/>
      <c r="AH42" s="25">
        <f t="shared" si="42"/>
        <v>0</v>
      </c>
      <c r="AI42" s="25">
        <f t="shared" si="43"/>
        <v>0</v>
      </c>
      <c r="AJ42" s="232"/>
      <c r="AK42" s="25">
        <f t="shared" si="44"/>
        <v>0</v>
      </c>
      <c r="AL42" s="25">
        <f t="shared" si="45"/>
        <v>0</v>
      </c>
      <c r="AM42" s="232"/>
      <c r="AN42" s="25">
        <f t="shared" si="46"/>
        <v>0</v>
      </c>
      <c r="AO42" s="25">
        <f t="shared" si="47"/>
        <v>0</v>
      </c>
      <c r="AP42" s="232"/>
      <c r="AQ42" s="25">
        <f t="shared" si="48"/>
        <v>0</v>
      </c>
      <c r="AR42" s="25">
        <f t="shared" si="49"/>
        <v>0</v>
      </c>
      <c r="AS42" s="232"/>
      <c r="AT42" s="25">
        <f t="shared" si="50"/>
        <v>0</v>
      </c>
      <c r="AU42" s="25">
        <f t="shared" si="51"/>
        <v>0</v>
      </c>
      <c r="AV42" s="232"/>
      <c r="AW42" s="25">
        <f t="shared" si="52"/>
        <v>0</v>
      </c>
      <c r="AX42" s="25">
        <f t="shared" si="53"/>
        <v>0</v>
      </c>
      <c r="AY42" s="232"/>
      <c r="AZ42" s="25">
        <f t="shared" si="56"/>
        <v>0</v>
      </c>
      <c r="BA42" s="25">
        <f t="shared" si="57"/>
        <v>0</v>
      </c>
      <c r="BB42" s="232"/>
      <c r="BC42" s="25">
        <f t="shared" si="58"/>
        <v>0</v>
      </c>
      <c r="BD42" s="25">
        <f t="shared" si="59"/>
        <v>0</v>
      </c>
      <c r="BE42" s="232"/>
      <c r="BF42" s="25">
        <f t="shared" si="60"/>
        <v>0</v>
      </c>
      <c r="BG42" s="25">
        <f t="shared" si="61"/>
        <v>0</v>
      </c>
      <c r="BH42" s="232"/>
      <c r="BI42" s="25">
        <f t="shared" si="62"/>
        <v>0</v>
      </c>
      <c r="BJ42" s="25">
        <f t="shared" si="63"/>
        <v>0</v>
      </c>
    </row>
    <row r="43" spans="1:66" s="11" customFormat="1" ht="15.6" customHeight="1" x14ac:dyDescent="0.2">
      <c r="A43" s="5" t="s">
        <v>232</v>
      </c>
      <c r="B43" s="4"/>
      <c r="C43" s="166">
        <f>IF($C$12=2,0,IF($C$8="Project-supplement",0,S43/Takstblad!C54))</f>
        <v>0</v>
      </c>
      <c r="D43" s="166">
        <f>IF($C$12=2,0,IF($C$8="Project-supplement",0,T43/Takstblad!D54))</f>
        <v>0</v>
      </c>
      <c r="E43" s="166">
        <f>IF($C$12=2,0,IF($C$8="Project-supplement",0,U43/Takstblad!E54))</f>
        <v>0</v>
      </c>
      <c r="F43" s="166">
        <f>IF($C$12=2,0,IF($C$8="Project-supplement",0,V43/Takstblad!F54))</f>
        <v>0</v>
      </c>
      <c r="G43" s="166">
        <f>IF($C$12=2,0,IF($C$8="Project-supplement",0,W43/Takstblad!G54))</f>
        <v>0</v>
      </c>
      <c r="H43" s="166">
        <f>IF($C$12=2,0,IF($C$8="Project-supplement",0,X43/Takstblad!H54))</f>
        <v>0</v>
      </c>
      <c r="I43" s="166">
        <f>IF($C$12=2,0,IF($C$8="Project-supplement",0,Y43/Takstblad!I54))</f>
        <v>0</v>
      </c>
      <c r="J43" s="166">
        <f>IF($C$12=2,0,IF($C$8="Project-supplement",0,Z43/Takstblad!J54))</f>
        <v>0</v>
      </c>
      <c r="K43" s="166">
        <f>IF($C$12=2,0,IF($C$8="Project-supplement",0,AA43/Takstblad!K54))</f>
        <v>0</v>
      </c>
      <c r="L43" s="166">
        <f>IF($C$12=2,0,IF($C$8="Project-supplement",0,AB43/Takstblad!L54))</f>
        <v>0</v>
      </c>
      <c r="M43" s="65">
        <f t="shared" si="54"/>
        <v>0</v>
      </c>
      <c r="N43" s="20"/>
      <c r="O43" s="168" t="s">
        <v>152</v>
      </c>
      <c r="Q43" s="27"/>
      <c r="R43" s="21">
        <f>+AC43</f>
        <v>0</v>
      </c>
      <c r="S43" s="25">
        <f>IFERROR(IF($C$12=2,0,IF(OR($G$7="salary and operations",$G$7="Salary"),VLOOKUP($C$2,Takstblad!$B$55:$L$67,2,FALSE)*C$48,0)),0)</f>
        <v>0</v>
      </c>
      <c r="T43" s="25">
        <f>IFERROR(IF($C$12=2,0,IF(OR($G$7="salary and operations",$G$7="Salary"),VLOOKUP($C$2,Takstblad!$B$55:$L$67,2,FALSE)*D$48,0)),0)</f>
        <v>0</v>
      </c>
      <c r="U43" s="25">
        <f>IFERROR(IF($C$12=2,0,IF(OR($G$7="salary and operations",$G$7="Salary"),VLOOKUP($C$2,Takstblad!$B$55:$L$67,2,FALSE)*E$48,0)),0)</f>
        <v>0</v>
      </c>
      <c r="V43" s="25">
        <f>IFERROR(IF($C$12=2,0,IF(OR($G$7="salary and operations",$G$7="Salary"),VLOOKUP($C$2,Takstblad!$B$55:$L$67,2,FALSE)*F$48,0)),0)</f>
        <v>0</v>
      </c>
      <c r="W43" s="25">
        <f>IFERROR(IF($C$12=2,0,IF(OR($G$7="salary and operations",$G$7="Salary"),VLOOKUP($C$2,Takstblad!$B$55:$L$67,2,FALSE)*G$48,0)),0)</f>
        <v>0</v>
      </c>
      <c r="X43" s="25">
        <f>IFERROR(IF($C$12=2,0,IF(OR($G$7="salary and operations",$G$7="Salary"),VLOOKUP($C$2,Takstblad!$B$55:$L$67,2,FALSE)*H$48,0)),0)</f>
        <v>0</v>
      </c>
      <c r="Y43" s="25">
        <f>IFERROR(IF($C$12=2,0,IF(OR($G$7="salary and operations",$G$7="Salary"),VLOOKUP($C$2,Takstblad!$B$55:$L$67,2,FALSE)*I$48,0)),0)</f>
        <v>0</v>
      </c>
      <c r="Z43" s="25">
        <f>IFERROR(IF($C$12=2,0,IF(OR($G$7="salary and operations",$G$7="Salary"),VLOOKUP($C$2,Takstblad!$B$55:$L$67,2,FALSE)*J$48,0)),0)</f>
        <v>0</v>
      </c>
      <c r="AA43" s="25">
        <f>IFERROR(IF($C$12=2,0,IF(OR($G$7="salary and operations",$G$7="Salary"),VLOOKUP($C$2,Takstblad!$B$55:$L$67,2,FALSE)*K$48,0)),0)</f>
        <v>0</v>
      </c>
      <c r="AB43" s="25">
        <f>IFERROR(IF($C$12=2,0,IF(OR($G$7="salary and operations",$G$7="Salary"),VLOOKUP($C$2,Takstblad!$B$55:$L$67,2,FALSE)*L$48,0)),0)</f>
        <v>0</v>
      </c>
      <c r="AC43" s="21">
        <f t="shared" si="55"/>
        <v>0</v>
      </c>
      <c r="AD43" s="232"/>
      <c r="AE43" s="25">
        <f>+M43*($C$7/12)</f>
        <v>0</v>
      </c>
      <c r="AF43" s="25">
        <f t="shared" si="41"/>
        <v>0</v>
      </c>
      <c r="AG43" s="7"/>
      <c r="AH43" s="25">
        <f t="shared" si="42"/>
        <v>0</v>
      </c>
      <c r="AI43" s="25">
        <f t="shared" si="43"/>
        <v>0</v>
      </c>
      <c r="AJ43" s="7"/>
      <c r="AK43" s="25">
        <f t="shared" si="44"/>
        <v>0</v>
      </c>
      <c r="AL43" s="25">
        <f t="shared" si="45"/>
        <v>0</v>
      </c>
      <c r="AM43" s="232"/>
      <c r="AN43" s="25">
        <f t="shared" si="46"/>
        <v>0</v>
      </c>
      <c r="AO43" s="25">
        <f t="shared" si="47"/>
        <v>0</v>
      </c>
      <c r="AP43" s="232"/>
      <c r="AQ43" s="25">
        <f t="shared" si="48"/>
        <v>0</v>
      </c>
      <c r="AR43" s="25">
        <f t="shared" si="49"/>
        <v>0</v>
      </c>
      <c r="AS43" s="232"/>
      <c r="AT43" s="25">
        <f t="shared" si="50"/>
        <v>0</v>
      </c>
      <c r="AU43" s="25">
        <f t="shared" si="51"/>
        <v>0</v>
      </c>
      <c r="AV43" s="232"/>
      <c r="AW43" s="25">
        <f t="shared" si="52"/>
        <v>0</v>
      </c>
      <c r="AX43" s="25">
        <f t="shared" si="53"/>
        <v>0</v>
      </c>
      <c r="AY43" s="7"/>
      <c r="AZ43" s="25">
        <f t="shared" si="56"/>
        <v>0</v>
      </c>
      <c r="BA43" s="25">
        <f t="shared" si="57"/>
        <v>0</v>
      </c>
      <c r="BB43" s="7"/>
      <c r="BC43" s="25">
        <f t="shared" si="58"/>
        <v>0</v>
      </c>
      <c r="BD43" s="25">
        <f t="shared" si="59"/>
        <v>0</v>
      </c>
      <c r="BE43" s="7"/>
      <c r="BF43" s="25">
        <f t="shared" si="60"/>
        <v>0</v>
      </c>
      <c r="BG43" s="25">
        <f t="shared" si="61"/>
        <v>0</v>
      </c>
      <c r="BH43" s="7"/>
      <c r="BI43" s="25">
        <f t="shared" si="62"/>
        <v>0</v>
      </c>
      <c r="BJ43" s="25">
        <f t="shared" si="63"/>
        <v>0</v>
      </c>
      <c r="BK43" s="7"/>
      <c r="BL43" s="7"/>
      <c r="BM43" s="7"/>
      <c r="BN43" s="7"/>
    </row>
    <row r="44" spans="1:66" s="11" customFormat="1" ht="15.6" customHeight="1" x14ac:dyDescent="0.2">
      <c r="A44" s="5" t="s">
        <v>233</v>
      </c>
      <c r="B44" s="4"/>
      <c r="C44" s="166">
        <f>IF($C$12=2,0,IF($C$8="project-supplement",0,S44/Takstblad!C54))</f>
        <v>0</v>
      </c>
      <c r="D44" s="166">
        <f>IF($C$12=2,0,IF($C$8="project-supplement",0,T44/Takstblad!D54))</f>
        <v>0</v>
      </c>
      <c r="E44" s="166">
        <f>IF($C$12=2,0,IF($C$8="project-supplement",0,U44/Takstblad!E54))</f>
        <v>0</v>
      </c>
      <c r="F44" s="166">
        <f>IF($C$12=2,0,IF($C$8="project-supplement",0,V44/Takstblad!F54))</f>
        <v>0</v>
      </c>
      <c r="G44" s="166">
        <f>IF($C$12=2,0,IF($C$8="project-supplement",0,W44/Takstblad!G54))</f>
        <v>0</v>
      </c>
      <c r="H44" s="166">
        <f>IF($C$12=2,0,IF($C$8="project-supplement",0,X44/Takstblad!H54))</f>
        <v>0</v>
      </c>
      <c r="I44" s="166">
        <f>IF($C$12=2,0,IF($C$8="project-supplement",0,Y44/Takstblad!I54))</f>
        <v>0</v>
      </c>
      <c r="J44" s="166">
        <f>IF($C$12=2,0,IF($C$8="project-supplement",0,Z44/Takstblad!J54))</f>
        <v>0</v>
      </c>
      <c r="K44" s="166">
        <f>IF($C$12=2,0,IF($C$8="project-supplement",0,AA44/Takstblad!K54))</f>
        <v>0</v>
      </c>
      <c r="L44" s="166">
        <f>IF($C$12=2,0,IF($C$8="project-supplement",0,AB44/Takstblad!L54))</f>
        <v>0</v>
      </c>
      <c r="M44" s="65">
        <f t="shared" si="54"/>
        <v>0</v>
      </c>
      <c r="N44" s="94"/>
      <c r="O44" s="168" t="s">
        <v>112</v>
      </c>
      <c r="Q44" s="27"/>
      <c r="R44" s="21">
        <f t="shared" si="39"/>
        <v>0</v>
      </c>
      <c r="S44" s="25">
        <f>IFERROR(IF($C$12=2,0,IF(OR($G$7="salary and operations",$G$7="Salary"),VLOOKUP($C$2,Takstblad!$B$55:$L$67,2,FALSE)*C$49,0)),0)</f>
        <v>0</v>
      </c>
      <c r="T44" s="25">
        <f>IFERROR(IF($C$12=2,0,IF(OR($G$7="salary and operations",$G$7="Salary"),VLOOKUP($C$2,Takstblad!$B$55:$L$67,2,FALSE)*D$49,0)),0)</f>
        <v>0</v>
      </c>
      <c r="U44" s="25">
        <f>IFERROR(IF($C$12=2,0,IF(OR($G$7="salary and operations",$G$7="Salary"),VLOOKUP($C$2,Takstblad!$B$55:$L$67,2,FALSE)*E$49,0)),0)</f>
        <v>0</v>
      </c>
      <c r="V44" s="25">
        <f>IFERROR(IF($C$12=2,0,IF(OR($G$7="salary and operations",$G$7="Salary"),VLOOKUP($C$2,Takstblad!$B$55:$L$67,2,FALSE)*F$49,0)),0)</f>
        <v>0</v>
      </c>
      <c r="W44" s="25">
        <f>IFERROR(IF($C$12=2,0,IF(OR($G$7="salary and operations",$G$7="Salary"),VLOOKUP($C$2,Takstblad!$B$55:$L$67,2,FALSE)*G$49,0)),0)</f>
        <v>0</v>
      </c>
      <c r="X44" s="25">
        <f>IFERROR(IF($C$12=2,0,IF(OR($G$7="salary and operations",$G$7="Salary"),VLOOKUP($C$2,Takstblad!$B$55:$L$67,2,FALSE)*H$49,0)),0)</f>
        <v>0</v>
      </c>
      <c r="Y44" s="25">
        <f>IFERROR(IF($C$12=2,0,IF(OR($G$7="salary and operations",$G$7="Salary"),VLOOKUP($C$2,Takstblad!$B$55:$L$67,2,FALSE)*I$49,0)),0)</f>
        <v>0</v>
      </c>
      <c r="Z44" s="25">
        <f>IFERROR(IF($C$12=2,0,IF(OR($G$7="salary and operations",$G$7="Salary"),VLOOKUP($C$2,Takstblad!$B$55:$L$67,2,FALSE)*J$49,0)),0)</f>
        <v>0</v>
      </c>
      <c r="AA44" s="25">
        <f>IFERROR(IF($C$12=2,0,IF(OR($G$7="salary and operations",$G$7="Salary"),VLOOKUP($C$2,Takstblad!$B$55:$L$67,2,FALSE)*K$49,0)),0)</f>
        <v>0</v>
      </c>
      <c r="AB44" s="25">
        <f>IFERROR(IF($C$12=2,0,IF(OR($G$7="salary and operations",$G$7="Salary"),VLOOKUP($C$2,Takstblad!$B$55:$L$67,2,FALSE)*L$49,0)),0)</f>
        <v>0</v>
      </c>
      <c r="AC44" s="21">
        <f t="shared" si="55"/>
        <v>0</v>
      </c>
      <c r="AD44" s="7"/>
      <c r="AE44" s="25">
        <f t="shared" ref="AE44:AE45" si="64">+M44*($C$7/12)</f>
        <v>0</v>
      </c>
      <c r="AF44" s="25">
        <f t="shared" ref="AF44:AF45" si="65">IFERROR(AC44/AE44,0)</f>
        <v>0</v>
      </c>
      <c r="AG44" s="7"/>
      <c r="AH44" s="25">
        <f t="shared" ref="AH44:AH45" si="66">+C44*($C$7/12)</f>
        <v>0</v>
      </c>
      <c r="AI44" s="25">
        <f t="shared" ref="AI44:AI45" si="67">IFERROR(S44/AH44,0)</f>
        <v>0</v>
      </c>
      <c r="AJ44" s="7"/>
      <c r="AK44" s="25">
        <f t="shared" ref="AK44:AK45" si="68">+D44*($C$7/12)</f>
        <v>0</v>
      </c>
      <c r="AL44" s="25">
        <f t="shared" ref="AL44:AL45" si="69">IFERROR(T44/AK44,0)</f>
        <v>0</v>
      </c>
      <c r="AM44" s="7"/>
      <c r="AN44" s="25">
        <f t="shared" ref="AN44:AN45" si="70">+E44*($C$7/12)</f>
        <v>0</v>
      </c>
      <c r="AO44" s="25">
        <f t="shared" ref="AO44:AO45" si="71">IFERROR(U44/AN44,0)</f>
        <v>0</v>
      </c>
      <c r="AP44" s="232"/>
      <c r="AQ44" s="25">
        <f t="shared" ref="AQ44:AQ45" si="72">+F44*($C$7/12)</f>
        <v>0</v>
      </c>
      <c r="AR44" s="25">
        <f t="shared" ref="AR44:AR45" si="73">IFERROR(V44/AQ44,0)</f>
        <v>0</v>
      </c>
      <c r="AS44" s="7"/>
      <c r="AT44" s="25">
        <f t="shared" ref="AT44:AT45" si="74">+G44*($C$7/12)</f>
        <v>0</v>
      </c>
      <c r="AU44" s="25">
        <f t="shared" ref="AU44:AU45" si="75">IFERROR(W44/AT44,0)</f>
        <v>0</v>
      </c>
      <c r="AV44" s="7"/>
      <c r="AW44" s="25">
        <f t="shared" ref="AW44:AW45" si="76">+H44*($C$7/12)</f>
        <v>0</v>
      </c>
      <c r="AX44" s="25">
        <f t="shared" ref="AX44:AX45" si="77">IFERROR(X44/AW44,0)</f>
        <v>0</v>
      </c>
      <c r="AY44" s="7"/>
      <c r="AZ44" s="25">
        <f t="shared" ref="AZ44:AZ45" si="78">+I44*($C$7/12)</f>
        <v>0</v>
      </c>
      <c r="BA44" s="25">
        <f t="shared" ref="BA44:BA45" si="79">IFERROR(Y44/AZ44,0)</f>
        <v>0</v>
      </c>
      <c r="BB44" s="7"/>
      <c r="BC44" s="25">
        <f t="shared" ref="BC44:BC45" si="80">+J44*($C$7/12)</f>
        <v>0</v>
      </c>
      <c r="BD44" s="25">
        <f t="shared" ref="BD44:BD45" si="81">IFERROR(Z44/BC44,0)</f>
        <v>0</v>
      </c>
      <c r="BE44" s="7"/>
      <c r="BF44" s="25">
        <f t="shared" si="60"/>
        <v>0</v>
      </c>
      <c r="BG44" s="25">
        <f t="shared" si="61"/>
        <v>0</v>
      </c>
      <c r="BH44" s="7"/>
      <c r="BI44" s="25">
        <f t="shared" si="62"/>
        <v>0</v>
      </c>
      <c r="BJ44" s="25">
        <f t="shared" si="63"/>
        <v>0</v>
      </c>
      <c r="BK44" s="7"/>
      <c r="BL44" s="7"/>
      <c r="BM44" s="7"/>
      <c r="BN44" s="7"/>
    </row>
    <row r="45" spans="1:66" ht="15.6" customHeight="1" thickBot="1" x14ac:dyDescent="0.25">
      <c r="A45" s="5" t="s">
        <v>772</v>
      </c>
      <c r="B45" s="4"/>
      <c r="C45" s="169">
        <f>IF($C$10="Yes",((SUMIFS(C$20:C$29,$O$20:$O$29,Lister!$D$29,$A$20:$A$29,Takstblad!$A$18)+SUMIFS(C$20:C$29,$O$20:$O$29,Lister!$D$29,$A$20:$A$29,Takstblad!$A$19)+SUMIFS(C$20:C$29,$O$20:$O$29,Lister!$D$29,$A$20:$A$29,Takstblad!$A$20)+SUMIFS(C$20:C$29,$O$20:$O$29,Lister!$D$29,$A$20:$A$29,Takstblad!$A$21)+SUMIFS(C$20:C$29,$O$20:$O$29,Lister!$D$29,$A$20:$A$29,Takstblad!$A$22)+SUMIFS(C$20:C$29,$O$20:$O$29,Lister!$D$29,$A$20:$A$29,Takstblad!$A$23)+SUMIFS(C$20:C$29,$O$20:$O$29,Lister!$D$30,$A$20:$A$29,Takstblad!$A$18)+SUMIFS(C$20:C$29,$O$20:$O$29,Lister!$D$30,$A$20:$A$29,Takstblad!$A$19)+SUMIFS(C$20:C$29,$O$20:$O$29,Lister!$D$30,$A$20:$A$29,Takstblad!$A$20)+SUMIFS(C$20:C$29,$O$20:$O$29,Lister!$D$30,$A$20:$A$29,Takstblad!$A$21)+SUMIFS(C$20:C$29,$O$20:$O$29,Lister!$D$30,$A$20:$A$29,Takstblad!$A$22)+SUMIFS(C$20:C$29,$O$20:$O$29,Lister!$D$30,$A$20:$A$29,Takstblad!$A$23))/12)*0.5+((+SUMIF($O$33:$O$42,Lister!$D$29,C$33:C$42)-SUMIFS(C$33:C$42,$O$33:$O$42,Lister!$D$29,$A$33:$A$42,Takstblad!$A$34)-SUMIFS(C$33:C$42,$O$33:$O$42,Lister!$D$29,$A$33:$A$42,Takstblad!$A$36)-SUMIFS(C$33:C$42,$O$33:$O$42,Lister!$D$29,$A$33:$A$42,Takstblad!$A$41)-SUMIFS(C$33:C$42,$O$33:$O$42,Lister!$D$29,$A$33:$A$42,Takstblad!$A$42)+SUMIF($O$33:$O$42,Lister!$D$30,C$33:C$42)-SUMIFS(C$33:C$42,$O$33:$O$42,Lister!$D$30,$A$33:$A$42,Takstblad!$A$34)-SUMIFS(C$33:C$42,$O$33:$O$42,Lister!$D$30,$A$33:$A$42,Takstblad!$A$36)-SUMIFS(C$33:C$42,$O$33:$O$42,Lister!$D$30,$A$33:$A$42,Takstblad!$A$41)-SUMIFS(C$33:C$42,$O$33:$O$42,Lister!$D$30,$A$33:$A$42,Takstblad!$A$42))*0.3),0)</f>
        <v>0</v>
      </c>
      <c r="D45" s="169">
        <f>IF($C$2="FOOD",((SUMIFS(D$20:D$29,$O$20:$O$29,Lister!$D$29,$A$20:$A$29,Takstblad!$A$18)+SUMIFS(D$20:D$29,$O$20:$O$29,Lister!$D$29,$A$20:$A$29,Takstblad!$A$19)+SUMIFS(D$20:D$29,$O$20:$O$29,Lister!$D$29,$A$20:$A$29,Takstblad!$A$20)+SUMIFS(D$20:D$29,$O$20:$O$29,Lister!$D$29,$A$20:$A$29,Takstblad!$A$21)+SUMIFS(D$20:D$29,$O$20:$O$29,Lister!$D$29,$A$20:$A$29,Takstblad!$A$22)+SUMIFS(D$20:D$29,$O$20:$O$29,Lister!$D$29,$A$20:$A$29,Takstblad!$A$23)+SUMIFS(D$20:D$29,$O$20:$O$29,Lister!$D$30,$A$20:$A$29,Takstblad!$A$18)+SUMIFS(D$20:D$29,$O$20:$O$29,Lister!$D$30,$A$20:$A$29,Takstblad!$A$19)+SUMIFS(D$20:D$29,$O$20:$O$29,Lister!$D$30,$A$20:$A$29,Takstblad!$A$20)+SUMIFS(D$20:D$29,$O$20:$O$29,Lister!$D$30,$A$20:$A$29,Takstblad!$A$21)+SUMIFS(D$20:D$29,$O$20:$O$29,Lister!$D$30,$A$20:$A$29,Takstblad!$A$22)+SUMIFS(D$20:D$29,$O$20:$O$29,Lister!$D$30,$A$20:$A$29,Takstblad!$A$23))/12)*0.5+((+SUMIF($O$33:$O$42,Lister!$D$29,D$33:D$42)-SUMIFS(D$33:D$42,$O$33:$O$42,Lister!$D$29,$A$33:$A$42,Takstblad!$A$34)-SUMIFS(D$33:D$42,$O$33:$O$42,Lister!$D$29,$A$33:$A$42,Takstblad!$A$36)-SUMIFS(D$33:D$42,$O$33:$O$42,Lister!$D$29,$A$33:$A$42,Takstblad!$A$41)-SUMIFS(D$33:D$42,$O$33:$O$42,Lister!$D$29,$A$33:$A$42,Takstblad!$A$42)+SUMIF($O$33:$O$42,Lister!$D$30,D$33:D$42)-SUMIFS(D$33:D$42,$O$33:$O$42,Lister!$D$30,$A$33:$A$42,Takstblad!$A$34)-SUMIFS(D$33:D$42,$O$33:$O$42,Lister!$D$30,$A$33:$A$42,Takstblad!$A$36)-SUMIFS(D$33:D$42,$O$33:$O$42,Lister!$D$30,$A$33:$A$42,Takstblad!$A$41)-SUMIFS(D$33:D$42,$O$33:$O$42,Lister!$D$30,$A$33:$A$42,Takstblad!$A$42))*0.3),0)</f>
        <v>0</v>
      </c>
      <c r="E45" s="169">
        <f>IF($C$2="FOOD",((SUMIFS(E$20:E$29,$O$20:$O$29,Lister!$D$29,$A$20:$A$29,Takstblad!$A$18)+SUMIFS(E$20:E$29,$O$20:$O$29,Lister!$D$29,$A$20:$A$29,Takstblad!$A$19)+SUMIFS(E$20:E$29,$O$20:$O$29,Lister!$D$29,$A$20:$A$29,Takstblad!$A$20)+SUMIFS(E$20:E$29,$O$20:$O$29,Lister!$D$29,$A$20:$A$29,Takstblad!$A$21)+SUMIFS(E$20:E$29,$O$20:$O$29,Lister!$D$29,$A$20:$A$29,Takstblad!$A$22)+SUMIFS(E$20:E$29,$O$20:$O$29,Lister!$D$29,$A$20:$A$29,Takstblad!$A$23)+SUMIFS(E$20:E$29,$O$20:$O$29,Lister!$D$30,$A$20:$A$29,Takstblad!$A$18)+SUMIFS(E$20:E$29,$O$20:$O$29,Lister!$D$30,$A$20:$A$29,Takstblad!$A$19)+SUMIFS(E$20:E$29,$O$20:$O$29,Lister!$D$30,$A$20:$A$29,Takstblad!$A$20)+SUMIFS(E$20:E$29,$O$20:$O$29,Lister!$D$30,$A$20:$A$29,Takstblad!$A$21)+SUMIFS(E$20:E$29,$O$20:$O$29,Lister!$D$30,$A$20:$A$29,Takstblad!$A$22)+SUMIFS(E$20:E$29,$O$20:$O$29,Lister!$D$30,$A$20:$A$29,Takstblad!$A$23))/12)*0.5+((+SUMIF($O$33:$O$42,Lister!$D$29,E$33:E$42)-SUMIFS(E$33:E$42,$O$33:$O$42,Lister!$D$29,$A$33:$A$42,Takstblad!$A$34)-SUMIFS(E$33:E$42,$O$33:$O$42,Lister!$D$29,$A$33:$A$42,Takstblad!$A$36)-SUMIFS(E$33:E$42,$O$33:$O$42,Lister!$D$29,$A$33:$A$42,Takstblad!$A$41)-SUMIFS(E$33:E$42,$O$33:$O$42,Lister!$D$29,$A$33:$A$42,Takstblad!$A$42)+SUMIF($O$33:$O$42,Lister!$D$30,E$33:E$42)-SUMIFS(E$33:E$42,$O$33:$O$42,Lister!$D$30,$A$33:$A$42,Takstblad!$A$34)-SUMIFS(E$33:E$42,$O$33:$O$42,Lister!$D$30,$A$33:$A$42,Takstblad!$A$36)-SUMIFS(E$33:E$42,$O$33:$O$42,Lister!$D$30,$A$33:$A$42,Takstblad!$A$41)-SUMIFS(E$33:E$42,$O$33:$O$42,Lister!$D$30,$A$33:$A$42,Takstblad!$A$42))*0.3),0)</f>
        <v>0</v>
      </c>
      <c r="F45" s="169">
        <f>IF($C$2="FOOD",((SUMIFS(F$20:F$29,$O$20:$O$29,Lister!$D$29,$A$20:$A$29,Takstblad!$A$18)+SUMIFS(F$20:F$29,$O$20:$O$29,Lister!$D$29,$A$20:$A$29,Takstblad!$A$19)+SUMIFS(F$20:F$29,$O$20:$O$29,Lister!$D$29,$A$20:$A$29,Takstblad!$A$20)+SUMIFS(F$20:F$29,$O$20:$O$29,Lister!$D$29,$A$20:$A$29,Takstblad!$A$21)+SUMIFS(F$20:F$29,$O$20:$O$29,Lister!$D$29,$A$20:$A$29,Takstblad!$A$22)+SUMIFS(F$20:F$29,$O$20:$O$29,Lister!$D$29,$A$20:$A$29,Takstblad!$A$23)+SUMIFS(F$20:F$29,$O$20:$O$29,Lister!$D$30,$A$20:$A$29,Takstblad!$A$18)+SUMIFS(F$20:F$29,$O$20:$O$29,Lister!$D$30,$A$20:$A$29,Takstblad!$A$19)+SUMIFS(F$20:F$29,$O$20:$O$29,Lister!$D$30,$A$20:$A$29,Takstblad!$A$20)+SUMIFS(F$20:F$29,$O$20:$O$29,Lister!$D$30,$A$20:$A$29,Takstblad!$A$21)+SUMIFS(F$20:F$29,$O$20:$O$29,Lister!$D$30,$A$20:$A$29,Takstblad!$A$22)+SUMIFS(F$20:F$29,$O$20:$O$29,Lister!$D$30,$A$20:$A$29,Takstblad!$A$23))/12)*0.5+((+SUMIF($O$33:$O$42,Lister!$D$29,F$33:F$42)-SUMIFS(F$33:F$42,$O$33:$O$42,Lister!$D$29,$A$33:$A$42,Takstblad!$A$34)-SUMIFS(F$33:F$42,$O$33:$O$42,Lister!$D$29,$A$33:$A$42,Takstblad!$A$36)-SUMIFS(F$33:F$42,$O$33:$O$42,Lister!$D$29,$A$33:$A$42,Takstblad!$A$41)-SUMIFS(F$33:F$42,$O$33:$O$42,Lister!$D$29,$A$33:$A$42,Takstblad!$A$42)+SUMIF($O$33:$O$42,Lister!$D$30,F$33:F$42)-SUMIFS(F$33:F$42,$O$33:$O$42,Lister!$D$30,$A$33:$A$42,Takstblad!$A$34)-SUMIFS(F$33:F$42,$O$33:$O$42,Lister!$D$30,$A$33:$A$42,Takstblad!$A$36)-SUMIFS(F$33:F$42,$O$33:$O$42,Lister!$D$30,$A$33:$A$42,Takstblad!$A$41)-SUMIFS(F$33:F$42,$O$33:$O$42,Lister!$D$30,$A$33:$A$42,Takstblad!$A$42))*0.3),0)</f>
        <v>0</v>
      </c>
      <c r="G45" s="169">
        <f>IF($C$2="FOOD",((SUMIFS(G$20:G$29,$O$20:$O$29,Lister!$D$29,$A$20:$A$29,Takstblad!$A$18)+SUMIFS(G$20:G$29,$O$20:$O$29,Lister!$D$29,$A$20:$A$29,Takstblad!$A$19)+SUMIFS(G$20:G$29,$O$20:$O$29,Lister!$D$29,$A$20:$A$29,Takstblad!$A$20)+SUMIFS(G$20:G$29,$O$20:$O$29,Lister!$D$29,$A$20:$A$29,Takstblad!$A$21)+SUMIFS(G$20:G$29,$O$20:$O$29,Lister!$D$29,$A$20:$A$29,Takstblad!$A$22)+SUMIFS(G$20:G$29,$O$20:$O$29,Lister!$D$29,$A$20:$A$29,Takstblad!$A$23)+SUMIFS(G$20:G$29,$O$20:$O$29,Lister!$D$30,$A$20:$A$29,Takstblad!$A$18)+SUMIFS(G$20:G$29,$O$20:$O$29,Lister!$D$30,$A$20:$A$29,Takstblad!$A$19)+SUMIFS(G$20:G$29,$O$20:$O$29,Lister!$D$30,$A$20:$A$29,Takstblad!$A$20)+SUMIFS(G$20:G$29,$O$20:$O$29,Lister!$D$30,$A$20:$A$29,Takstblad!$A$21)+SUMIFS(G$20:G$29,$O$20:$O$29,Lister!$D$30,$A$20:$A$29,Takstblad!$A$22)+SUMIFS(G$20:G$29,$O$20:$O$29,Lister!$D$30,$A$20:$A$29,Takstblad!$A$23))/12)*0.5+((+SUMIF($O$33:$O$42,Lister!$D$29,G$33:G$42)-SUMIFS(G$33:G$42,$O$33:$O$42,Lister!$D$29,$A$33:$A$42,Takstblad!$A$34)-SUMIFS(G$33:G$42,$O$33:$O$42,Lister!$D$29,$A$33:$A$42,Takstblad!$A$36)-SUMIFS(G$33:G$42,$O$33:$O$42,Lister!$D$29,$A$33:$A$42,Takstblad!$A$41)-SUMIFS(G$33:G$42,$O$33:$O$42,Lister!$D$29,$A$33:$A$42,Takstblad!$A$42)+SUMIF($O$33:$O$42,Lister!$D$30,G$33:G$42)-SUMIFS(G$33:G$42,$O$33:$O$42,Lister!$D$30,$A$33:$A$42,Takstblad!$A$34)-SUMIFS(G$33:G$42,$O$33:$O$42,Lister!$D$30,$A$33:$A$42,Takstblad!$A$36)-SUMIFS(G$33:G$42,$O$33:$O$42,Lister!$D$30,$A$33:$A$42,Takstblad!$A$41)-SUMIFS(G$33:G$42,$O$33:$O$42,Lister!$D$30,$A$33:$A$42,Takstblad!$A$42))*0.3),0)</f>
        <v>0</v>
      </c>
      <c r="H45" s="169">
        <f>IF($C$2="FOOD",((SUMIFS(H$20:H$29,$O$20:$O$29,Lister!$D$29,$A$20:$A$29,Takstblad!$A$18)+SUMIFS(H$20:H$29,$O$20:$O$29,Lister!$D$29,$A$20:$A$29,Takstblad!$A$19)+SUMIFS(H$20:H$29,$O$20:$O$29,Lister!$D$29,$A$20:$A$29,Takstblad!$A$20)+SUMIFS(H$20:H$29,$O$20:$O$29,Lister!$D$29,$A$20:$A$29,Takstblad!$A$21)+SUMIFS(H$20:H$29,$O$20:$O$29,Lister!$D$29,$A$20:$A$29,Takstblad!$A$22)+SUMIFS(H$20:H$29,$O$20:$O$29,Lister!$D$29,$A$20:$A$29,Takstblad!$A$23)+SUMIFS(H$20:H$29,$O$20:$O$29,Lister!$D$30,$A$20:$A$29,Takstblad!$A$18)+SUMIFS(H$20:H$29,$O$20:$O$29,Lister!$D$30,$A$20:$A$29,Takstblad!$A$19)+SUMIFS(H$20:H$29,$O$20:$O$29,Lister!$D$30,$A$20:$A$29,Takstblad!$A$20)+SUMIFS(H$20:H$29,$O$20:$O$29,Lister!$D$30,$A$20:$A$29,Takstblad!$A$21)+SUMIFS(H$20:H$29,$O$20:$O$29,Lister!$D$30,$A$20:$A$29,Takstblad!$A$22)+SUMIFS(H$20:H$29,$O$20:$O$29,Lister!$D$30,$A$20:$A$29,Takstblad!$A$23))/12)*0.5+((+SUMIF($O$33:$O$42,Lister!$D$29,H$33:H$42)-SUMIFS(H$33:H$42,$O$33:$O$42,Lister!$D$29,$A$33:$A$42,Takstblad!$A$34)-SUMIFS(H$33:H$42,$O$33:$O$42,Lister!$D$29,$A$33:$A$42,Takstblad!$A$36)-SUMIFS(H$33:H$42,$O$33:$O$42,Lister!$D$29,$A$33:$A$42,Takstblad!$A$41)-SUMIFS(H$33:H$42,$O$33:$O$42,Lister!$D$29,$A$33:$A$42,Takstblad!$A$42)+SUMIF($O$33:$O$42,Lister!$D$30,H$33:H$42)-SUMIFS(H$33:H$42,$O$33:$O$42,Lister!$D$30,$A$33:$A$42,Takstblad!$A$34)-SUMIFS(H$33:H$42,$O$33:$O$42,Lister!$D$30,$A$33:$A$42,Takstblad!$A$36)-SUMIFS(H$33:H$42,$O$33:$O$42,Lister!$D$30,$A$33:$A$42,Takstblad!$A$41)-SUMIFS(H$33:H$42,$O$33:$O$42,Lister!$D$30,$A$33:$A$42,Takstblad!$A$42))*0.3),0)</f>
        <v>0</v>
      </c>
      <c r="I45" s="170">
        <f>IF($C$2="FOOD",((SUMIFS(I$20:I$29,$O$20:$O$29,Lister!$D$29,$A$20:$A$29,Takstblad!$A$18)+SUMIFS(I$20:I$29,$O$20:$O$29,Lister!$D$29,$A$20:$A$29,Takstblad!$A$19)+SUMIFS(I$20:I$29,$O$20:$O$29,Lister!$D$29,$A$20:$A$29,Takstblad!$A$20)+SUMIFS(I$20:I$29,$O$20:$O$29,Lister!$D$29,$A$20:$A$29,Takstblad!$A$21)+SUMIFS(I$20:I$29,$O$20:$O$29,Lister!$D$29,$A$20:$A$29,Takstblad!$A$22)+SUMIFS(I$20:I$29,$O$20:$O$29,Lister!$D$29,$A$20:$A$29,Takstblad!$A$23)+SUMIFS(I$20:I$29,$O$20:$O$29,Lister!$D$30,$A$20:$A$29,Takstblad!$A$18)+SUMIFS(I$20:I$29,$O$20:$O$29,Lister!$D$30,$A$20:$A$29,Takstblad!$A$19)+SUMIFS(I$20:I$29,$O$20:$O$29,Lister!$D$30,$A$20:$A$29,Takstblad!$A$20)+SUMIFS(I$20:I$29,$O$20:$O$29,Lister!$D$30,$A$20:$A$29,Takstblad!$A$21)+SUMIFS(I$20:I$29,$O$20:$O$29,Lister!$D$30,$A$20:$A$29,Takstblad!$A$22)+SUMIFS(I$20:I$29,$O$20:$O$29,Lister!$D$30,$A$20:$A$29,Takstblad!$A$23))/12)*0.5+((+SUMIF($O$33:$O$42,Lister!$D$29,I$33:I$42)-SUMIFS(I$33:I$42,$O$33:$O$42,Lister!$D$29,$A$33:$A$42,Takstblad!$A$34)-SUMIFS(I$33:I$42,$O$33:$O$42,Lister!$D$29,$A$33:$A$42,Takstblad!$A$36)-SUMIFS(I$33:I$42,$O$33:$O$42,Lister!$D$29,$A$33:$A$42,Takstblad!$A$41)-SUMIFS(I$33:I$42,$O$33:$O$42,Lister!$D$29,$A$33:$A$42,Takstblad!$A$42)+SUMIF($O$33:$O$42,Lister!$D$30,I$33:I$42)-SUMIFS(I$33:I$42,$O$33:$O$42,Lister!$D$30,$A$33:$A$42,Takstblad!$A$34)-SUMIFS(I$33:I$42,$O$33:$O$42,Lister!$D$30,$A$33:$A$42,Takstblad!$A$36)-SUMIFS(I$33:I$42,$O$33:$O$42,Lister!$D$30,$A$33:$A$42,Takstblad!$A$41)-SUMIFS(I$33:I$42,$O$33:$O$42,Lister!$D$30,$A$33:$A$42,Takstblad!$A$42))*0.3),0)</f>
        <v>0</v>
      </c>
      <c r="J45" s="170">
        <f>IF($C$2="FOOD",((SUMIFS(J$20:J$29,$O$20:$O$29,Lister!$D$29,$A$20:$A$29,Takstblad!$A$18)+SUMIFS(J$20:J$29,$O$20:$O$29,Lister!$D$29,$A$20:$A$29,Takstblad!$A$19)+SUMIFS(J$20:J$29,$O$20:$O$29,Lister!$D$29,$A$20:$A$29,Takstblad!$A$20)+SUMIFS(J$20:J$29,$O$20:$O$29,Lister!$D$29,$A$20:$A$29,Takstblad!$A$21)+SUMIFS(J$20:J$29,$O$20:$O$29,Lister!$D$29,$A$20:$A$29,Takstblad!$A$22)+SUMIFS(J$20:J$29,$O$20:$O$29,Lister!$D$29,$A$20:$A$29,Takstblad!$A$23)+SUMIFS(J$20:J$29,$O$20:$O$29,Lister!$D$30,$A$20:$A$29,Takstblad!$A$18)+SUMIFS(J$20:J$29,$O$20:$O$29,Lister!$D$30,$A$20:$A$29,Takstblad!$A$19)+SUMIFS(J$20:J$29,$O$20:$O$29,Lister!$D$30,$A$20:$A$29,Takstblad!$A$20)+SUMIFS(J$20:J$29,$O$20:$O$29,Lister!$D$30,$A$20:$A$29,Takstblad!$A$21)+SUMIFS(J$20:J$29,$O$20:$O$29,Lister!$D$30,$A$20:$A$29,Takstblad!$A$22)+SUMIFS(J$20:J$29,$O$20:$O$29,Lister!$D$30,$A$20:$A$29,Takstblad!$A$23))/12)*0.5+((+SUMIF($O$33:$O$42,Lister!$D$29,J$33:J$42)-SUMIFS(J$33:J$42,$O$33:$O$42,Lister!$D$29,$A$33:$A$42,Takstblad!$A$34)-SUMIFS(J$33:J$42,$O$33:$O$42,Lister!$D$29,$A$33:$A$42,Takstblad!$A$36)-SUMIFS(J$33:J$42,$O$33:$O$42,Lister!$D$29,$A$33:$A$42,Takstblad!$A$41)-SUMIFS(J$33:J$42,$O$33:$O$42,Lister!$D$29,$A$33:$A$42,Takstblad!$A$42)+SUMIF($O$33:$O$42,Lister!$D$30,J$33:J$42)-SUMIFS(J$33:J$42,$O$33:$O$42,Lister!$D$30,$A$33:$A$42,Takstblad!$A$34)-SUMIFS(J$33:J$42,$O$33:$O$42,Lister!$D$30,$A$33:$A$42,Takstblad!$A$36)-SUMIFS(J$33:J$42,$O$33:$O$42,Lister!$D$30,$A$33:$A$42,Takstblad!$A$41)-SUMIFS(J$33:J$42,$O$33:$O$42,Lister!$D$30,$A$33:$A$42,Takstblad!$A$42))*0.3),0)</f>
        <v>0</v>
      </c>
      <c r="K45" s="170">
        <f>IF($C$2="FOOD",((SUMIFS(K$20:K$29,$O$20:$O$29,Lister!$D$29,$A$20:$A$29,Takstblad!$A$18)+SUMIFS(K$20:K$29,$O$20:$O$29,Lister!$D$29,$A$20:$A$29,Takstblad!$A$19)+SUMIFS(K$20:K$29,$O$20:$O$29,Lister!$D$29,$A$20:$A$29,Takstblad!$A$20)+SUMIFS(K$20:K$29,$O$20:$O$29,Lister!$D$29,$A$20:$A$29,Takstblad!$A$21)+SUMIFS(K$20:K$29,$O$20:$O$29,Lister!$D$29,$A$20:$A$29,Takstblad!$A$22)+SUMIFS(K$20:K$29,$O$20:$O$29,Lister!$D$29,$A$20:$A$29,Takstblad!$A$23)+SUMIFS(K$20:K$29,$O$20:$O$29,Lister!$D$30,$A$20:$A$29,Takstblad!$A$18)+SUMIFS(K$20:K$29,$O$20:$O$29,Lister!$D$30,$A$20:$A$29,Takstblad!$A$19)+SUMIFS(K$20:K$29,$O$20:$O$29,Lister!$D$30,$A$20:$A$29,Takstblad!$A$20)+SUMIFS(K$20:K$29,$O$20:$O$29,Lister!$D$30,$A$20:$A$29,Takstblad!$A$21)+SUMIFS(K$20:K$29,$O$20:$O$29,Lister!$D$30,$A$20:$A$29,Takstblad!$A$22)+SUMIFS(K$20:K$29,$O$20:$O$29,Lister!$D$30,$A$20:$A$29,Takstblad!$A$23))/12)*0.5+((+SUMIF($O$33:$O$42,Lister!$D$29,K$33:K$42)-SUMIFS(K$33:K$42,$O$33:$O$42,Lister!$D$29,$A$33:$A$42,Takstblad!$A$34)-SUMIFS(K$33:K$42,$O$33:$O$42,Lister!$D$29,$A$33:$A$42,Takstblad!$A$36)-SUMIFS(K$33:K$42,$O$33:$O$42,Lister!$D$29,$A$33:$A$42,Takstblad!$A$41)-SUMIFS(K$33:K$42,$O$33:$O$42,Lister!$D$29,$A$33:$A$42,Takstblad!$A$42)+SUMIF($O$33:$O$42,Lister!$D$30,K$33:K$42)-SUMIFS(K$33:K$42,$O$33:$O$42,Lister!$D$30,$A$33:$A$42,Takstblad!$A$34)-SUMIFS(K$33:K$42,$O$33:$O$42,Lister!$D$30,$A$33:$A$42,Takstblad!$A$36)-SUMIFS(K$33:K$42,$O$33:$O$42,Lister!$D$30,$A$33:$A$42,Takstblad!$A$41)-SUMIFS(K$33:K$42,$O$33:$O$42,Lister!$D$30,$A$33:$A$42,Takstblad!$A$42))*0.3),0)</f>
        <v>0</v>
      </c>
      <c r="L45" s="170">
        <f>IF($C$2="FOOD",((SUMIFS(L$20:L$29,$O$20:$O$29,Lister!$D$29,$A$20:$A$29,Takstblad!$A$18)+SUMIFS(L$20:L$29,$O$20:$O$29,Lister!$D$29,$A$20:$A$29,Takstblad!$A$19)+SUMIFS(L$20:L$29,$O$20:$O$29,Lister!$D$29,$A$20:$A$29,Takstblad!$A$20)+SUMIFS(L$20:L$29,$O$20:$O$29,Lister!$D$29,$A$20:$A$29,Takstblad!$A$21)+SUMIFS(L$20:L$29,$O$20:$O$29,Lister!$D$29,$A$20:$A$29,Takstblad!$A$22)+SUMIFS(L$20:L$29,$O$20:$O$29,Lister!$D$29,$A$20:$A$29,Takstblad!$A$23)+SUMIFS(L$20:L$29,$O$20:$O$29,Lister!$D$30,$A$20:$A$29,Takstblad!$A$18)+SUMIFS(L$20:L$29,$O$20:$O$29,Lister!$D$30,$A$20:$A$29,Takstblad!$A$19)+SUMIFS(L$20:L$29,$O$20:$O$29,Lister!$D$30,$A$20:$A$29,Takstblad!$A$20)+SUMIFS(L$20:L$29,$O$20:$O$29,Lister!$D$30,$A$20:$A$29,Takstblad!$A$21)+SUMIFS(L$20:L$29,$O$20:$O$29,Lister!$D$30,$A$20:$A$29,Takstblad!$A$22)+SUMIFS(L$20:L$29,$O$20:$O$29,Lister!$D$30,$A$20:$A$29,Takstblad!$A$23))/12)*0.5+((+SUMIF($O$33:$O$42,Lister!$D$29,L$33:L$42)-SUMIFS(L$33:L$42,$O$33:$O$42,Lister!$D$29,$A$33:$A$42,Takstblad!$A$34)-SUMIFS(L$33:L$42,$O$33:$O$42,Lister!$D$29,$A$33:$A$42,Takstblad!$A$36)-SUMIFS(L$33:L$42,$O$33:$O$42,Lister!$D$29,$A$33:$A$42,Takstblad!$A$41)-SUMIFS(L$33:L$42,$O$33:$O$42,Lister!$D$29,$A$33:$A$42,Takstblad!$A$42)+SUMIF($O$33:$O$42,Lister!$D$30,L$33:L$42)-SUMIFS(L$33:L$42,$O$33:$O$42,Lister!$D$30,$A$33:$A$42,Takstblad!$A$34)-SUMIFS(L$33:L$42,$O$33:$O$42,Lister!$D$30,$A$33:$A$42,Takstblad!$A$36)-SUMIFS(L$33:L$42,$O$33:$O$42,Lister!$D$30,$A$33:$A$42,Takstblad!$A$41)-SUMIFS(L$33:L$42,$O$33:$O$42,Lister!$D$30,$A$33:$A$42,Takstblad!$A$42))*0.3),0)</f>
        <v>0</v>
      </c>
      <c r="M45" s="65">
        <f t="shared" si="54"/>
        <v>0</v>
      </c>
      <c r="N45" s="171"/>
      <c r="O45" s="168" t="s">
        <v>152</v>
      </c>
      <c r="P45" s="11"/>
      <c r="Q45" s="27"/>
      <c r="R45" s="213">
        <f t="shared" si="39"/>
        <v>0</v>
      </c>
      <c r="S45" s="25">
        <f>+C45*Takstblad!C38</f>
        <v>0</v>
      </c>
      <c r="T45" s="25">
        <f>+D45*Takstblad!D38</f>
        <v>0</v>
      </c>
      <c r="U45" s="25">
        <f>+E45*Takstblad!E38</f>
        <v>0</v>
      </c>
      <c r="V45" s="25">
        <f>+F45*Takstblad!F38</f>
        <v>0</v>
      </c>
      <c r="W45" s="25">
        <f>+G45*Takstblad!G38</f>
        <v>0</v>
      </c>
      <c r="X45" s="25">
        <f>+H45*Takstblad!H38</f>
        <v>0</v>
      </c>
      <c r="Y45" s="25">
        <f>+I45*Takstblad!I38</f>
        <v>0</v>
      </c>
      <c r="Z45" s="25">
        <f>+J45*Takstblad!J38</f>
        <v>0</v>
      </c>
      <c r="AA45" s="25">
        <f>+K45*Takstblad!K38</f>
        <v>0</v>
      </c>
      <c r="AB45" s="25">
        <f>+L45*Takstblad!L38</f>
        <v>0</v>
      </c>
      <c r="AC45" s="25">
        <f t="shared" si="55"/>
        <v>0</v>
      </c>
      <c r="AE45" s="25">
        <f t="shared" si="64"/>
        <v>0</v>
      </c>
      <c r="AF45" s="25">
        <f t="shared" si="65"/>
        <v>0</v>
      </c>
      <c r="AH45" s="25">
        <f t="shared" si="66"/>
        <v>0</v>
      </c>
      <c r="AI45" s="25">
        <f t="shared" si="67"/>
        <v>0</v>
      </c>
      <c r="AK45" s="25">
        <f t="shared" si="68"/>
        <v>0</v>
      </c>
      <c r="AL45" s="25">
        <f t="shared" si="69"/>
        <v>0</v>
      </c>
      <c r="AN45" s="25">
        <f t="shared" si="70"/>
        <v>0</v>
      </c>
      <c r="AO45" s="25">
        <f t="shared" si="71"/>
        <v>0</v>
      </c>
      <c r="AQ45" s="25">
        <f t="shared" si="72"/>
        <v>0</v>
      </c>
      <c r="AR45" s="25">
        <f t="shared" si="73"/>
        <v>0</v>
      </c>
      <c r="AT45" s="25">
        <f t="shared" si="74"/>
        <v>0</v>
      </c>
      <c r="AU45" s="25">
        <f t="shared" si="75"/>
        <v>0</v>
      </c>
      <c r="AW45" s="25">
        <f t="shared" si="76"/>
        <v>0</v>
      </c>
      <c r="AX45" s="25">
        <f t="shared" si="77"/>
        <v>0</v>
      </c>
      <c r="AZ45" s="25">
        <f t="shared" si="78"/>
        <v>0</v>
      </c>
      <c r="BA45" s="25">
        <f t="shared" si="79"/>
        <v>0</v>
      </c>
      <c r="BC45" s="25">
        <f t="shared" si="80"/>
        <v>0</v>
      </c>
      <c r="BD45" s="25">
        <f t="shared" si="81"/>
        <v>0</v>
      </c>
      <c r="BF45" s="25">
        <f t="shared" si="60"/>
        <v>0</v>
      </c>
      <c r="BG45" s="25">
        <f t="shared" si="61"/>
        <v>0</v>
      </c>
      <c r="BI45" s="25">
        <f t="shared" si="62"/>
        <v>0</v>
      </c>
      <c r="BJ45" s="25">
        <f t="shared" si="63"/>
        <v>0</v>
      </c>
    </row>
    <row r="46" spans="1:66" ht="15.6" customHeight="1" thickBot="1" x14ac:dyDescent="0.25">
      <c r="A46" s="4" t="s">
        <v>71</v>
      </c>
      <c r="B46" s="4"/>
      <c r="C46" s="12">
        <f t="shared" ref="C46:J46" si="82">SUM(C33:C45)</f>
        <v>0</v>
      </c>
      <c r="D46" s="12">
        <f t="shared" si="82"/>
        <v>0</v>
      </c>
      <c r="E46" s="12">
        <f t="shared" si="82"/>
        <v>0</v>
      </c>
      <c r="F46" s="12">
        <f t="shared" si="82"/>
        <v>0</v>
      </c>
      <c r="G46" s="12">
        <f t="shared" si="82"/>
        <v>0</v>
      </c>
      <c r="H46" s="12">
        <f t="shared" si="82"/>
        <v>0</v>
      </c>
      <c r="I46" s="12">
        <f t="shared" si="82"/>
        <v>0</v>
      </c>
      <c r="J46" s="12">
        <f t="shared" si="82"/>
        <v>0</v>
      </c>
      <c r="K46" s="12">
        <f t="shared" ref="K46" si="83">SUM(K33:K45)</f>
        <v>0</v>
      </c>
      <c r="L46" s="12">
        <f>SUM(L33:L45)</f>
        <v>0</v>
      </c>
      <c r="M46" s="12">
        <f t="shared" si="54"/>
        <v>0</v>
      </c>
      <c r="N46" s="12"/>
      <c r="O46" s="48"/>
      <c r="P46" s="48"/>
      <c r="Q46" s="23" t="s">
        <v>75</v>
      </c>
      <c r="R46" s="46">
        <f t="shared" si="39"/>
        <v>0</v>
      </c>
      <c r="S46" s="22">
        <f t="shared" ref="S46:Z46" si="84">SUM(S33:S45)</f>
        <v>0</v>
      </c>
      <c r="T46" s="22">
        <f t="shared" si="84"/>
        <v>0</v>
      </c>
      <c r="U46" s="22">
        <f t="shared" si="84"/>
        <v>0</v>
      </c>
      <c r="V46" s="22">
        <f t="shared" si="84"/>
        <v>0</v>
      </c>
      <c r="W46" s="22">
        <f t="shared" si="84"/>
        <v>0</v>
      </c>
      <c r="X46" s="22">
        <f t="shared" si="84"/>
        <v>0</v>
      </c>
      <c r="Y46" s="51">
        <f t="shared" si="84"/>
        <v>0</v>
      </c>
      <c r="Z46" s="51">
        <f t="shared" si="84"/>
        <v>0</v>
      </c>
      <c r="AA46" s="51">
        <f t="shared" ref="AA46:AB46" si="85">SUM(AA33:AA45)</f>
        <v>0</v>
      </c>
      <c r="AB46" s="51">
        <f t="shared" si="85"/>
        <v>0</v>
      </c>
      <c r="AC46" s="46">
        <f t="shared" si="55"/>
        <v>0</v>
      </c>
      <c r="AE46" s="22">
        <f>SUM(AE33:AE45)</f>
        <v>0</v>
      </c>
      <c r="AF46" s="13">
        <f>IFERROR(AC46/AE46,0)</f>
        <v>0</v>
      </c>
      <c r="AH46" s="22">
        <f>SUM(AH33:AH45)</f>
        <v>0</v>
      </c>
      <c r="AI46" s="13">
        <f t="shared" si="43"/>
        <v>0</v>
      </c>
      <c r="AK46" s="22">
        <f>SUM(AK33:AK45)</f>
        <v>0</v>
      </c>
      <c r="AL46" s="13">
        <f t="shared" si="45"/>
        <v>0</v>
      </c>
      <c r="AN46" s="22">
        <f>SUM(AN33:AN45)</f>
        <v>0</v>
      </c>
      <c r="AO46" s="13">
        <f t="shared" si="47"/>
        <v>0</v>
      </c>
      <c r="AQ46" s="22">
        <f>SUM(AQ33:AQ45)</f>
        <v>0</v>
      </c>
      <c r="AR46" s="13">
        <f t="shared" si="49"/>
        <v>0</v>
      </c>
      <c r="AT46" s="22">
        <f>SUM(AT33:AT45)</f>
        <v>0</v>
      </c>
      <c r="AU46" s="13">
        <f t="shared" si="51"/>
        <v>0</v>
      </c>
      <c r="AW46" s="22">
        <f>SUM(AW33:AW45)</f>
        <v>0</v>
      </c>
      <c r="AX46" s="13">
        <f t="shared" si="53"/>
        <v>0</v>
      </c>
      <c r="AZ46" s="22">
        <f>SUM(AZ33:AZ45)</f>
        <v>0</v>
      </c>
      <c r="BA46" s="13">
        <f t="shared" si="57"/>
        <v>0</v>
      </c>
      <c r="BC46" s="22">
        <f>SUM(BC33:BC45)</f>
        <v>0</v>
      </c>
      <c r="BD46" s="13">
        <f t="shared" si="59"/>
        <v>0</v>
      </c>
      <c r="BF46" s="22">
        <f>SUM(BF33:BF45)</f>
        <v>0</v>
      </c>
      <c r="BG46" s="13">
        <f t="shared" ref="BG46" si="86">IFERROR(AC46/BF46,0)</f>
        <v>0</v>
      </c>
      <c r="BI46" s="22">
        <f>SUM(BI33:BI45)</f>
        <v>0</v>
      </c>
      <c r="BJ46" s="13">
        <f t="shared" ref="BJ46" si="87">IFERROR(AF46/BI46,0)</f>
        <v>0</v>
      </c>
      <c r="BK46" s="70"/>
      <c r="BL46" s="70"/>
      <c r="BM46" s="70"/>
    </row>
    <row r="47" spans="1:66" ht="15.6" customHeight="1" x14ac:dyDescent="0.2">
      <c r="A47" s="9"/>
      <c r="B47" s="48"/>
      <c r="C47" s="48"/>
      <c r="D47" s="48"/>
      <c r="E47" s="48"/>
      <c r="F47" s="48"/>
      <c r="G47" s="48"/>
      <c r="H47" s="48"/>
      <c r="I47" s="48"/>
      <c r="J47" s="48"/>
      <c r="K47" s="48"/>
      <c r="L47" s="48"/>
      <c r="M47" s="48"/>
      <c r="N47" s="48"/>
      <c r="O47" s="48"/>
      <c r="P47" s="48"/>
      <c r="Q47" s="23"/>
      <c r="R47" s="5"/>
      <c r="S47" s="4"/>
      <c r="T47" s="4"/>
      <c r="U47" s="4"/>
      <c r="V47" s="4"/>
      <c r="W47" s="4"/>
      <c r="X47" s="4"/>
      <c r="Y47" s="4"/>
      <c r="Z47" s="4"/>
      <c r="AA47" s="4"/>
      <c r="AB47" s="4"/>
      <c r="AC47" s="5"/>
      <c r="AD47" s="70"/>
      <c r="AE47" s="76"/>
      <c r="AF47" s="76"/>
      <c r="AG47" s="70"/>
      <c r="AH47" s="77"/>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row>
    <row r="48" spans="1:66" ht="15.6" hidden="1" customHeight="1" x14ac:dyDescent="0.2">
      <c r="A48" s="9" t="s">
        <v>185</v>
      </c>
      <c r="B48" s="48"/>
      <c r="C48" s="109">
        <f>+SUMIF($O$20:$O$29,Lister!$D$30,C20:C29)-SUMIFS(C20:C29,$O$20:$O$29,Lister!$D$30,$B$20:$B$29,Lister!$B$20)-+SUMIFS(C33:C42,$O$33:$O$42,Lister!$D$30,$B$33:$B$42,Lister!$A$24)+SUMIF($O$20:$O$29,Lister!$D$29,C20:C29)-SUMIFS(C20:C29,$O$20:$O$29,Lister!$D$29,$B$20:$B$29,Lister!$B$20)+SUMIFS(C33:C42,$O$33:$O$42,Lister!$D$29,$B$33:$B$42,Lister!$A$24)</f>
        <v>0</v>
      </c>
      <c r="D48" s="109">
        <f>+SUMIF($O$20:$O$29,Lister!$D$30,D20:D29)-SUMIFS(D20:D29,$O$20:$O$29,Lister!$D$30,$B$20:$B$29,Lister!$B$20)-+SUMIFS(D33:D42,$O$33:$O$42,Lister!$D$30,$B$33:$B$42,Lister!$A$24)+SUMIF($O$20:$O$29,Lister!$D$29,D20:D29)-SUMIFS(D20:D29,$O$20:$O$29,Lister!$D$29,$B$20:$B$29,Lister!$B$20)+SUMIFS(D33:D42,$O$33:$O$42,Lister!$D$29,$B$33:$B$42,Lister!$A$24)</f>
        <v>0</v>
      </c>
      <c r="E48" s="109">
        <f>+SUMIF($O$20:$O$29,Lister!$D$30,E20:E29)-SUMIFS(E20:E29,$O$20:$O$29,Lister!$D$30,$B$20:$B$29,Lister!$B$20)-+SUMIFS(E33:E42,$O$33:$O$42,Lister!$D$30,$B$33:$B$42,Lister!$A$24)+SUMIF($O$20:$O$29,Lister!$D$29,E20:E29)-SUMIFS(E20:E29,$O$20:$O$29,Lister!$D$29,$B$20:$B$29,Lister!$B$20)+SUMIFS(E33:E42,$O$33:$O$42,Lister!$D$29,$B$33:$B$42,Lister!$A$24)</f>
        <v>0</v>
      </c>
      <c r="F48" s="109">
        <f>+SUMIF($O$20:$O$29,Lister!$D$30,F20:F29)-SUMIFS(F20:F29,$O$20:$O$29,Lister!$D$30,$B$20:$B$29,Lister!$B$20)-+SUMIFS(F33:F42,$O$33:$O$42,Lister!$D$30,$B$33:$B$42,Lister!$A$24)+SUMIF($O$20:$O$29,Lister!$D$29,F20:F29)-SUMIFS(F20:F29,$O$20:$O$29,Lister!$D$29,$B$20:$B$29,Lister!$B$20)+SUMIFS(F33:F42,$O$33:$O$42,Lister!$D$29,$B$33:$B$42,Lister!$A$24)</f>
        <v>0</v>
      </c>
      <c r="G48" s="109">
        <f>+SUMIF($O$20:$O$29,Lister!$D$30,G20:G29)-SUMIFS(G20:G29,$O$20:$O$29,Lister!$D$30,$B$20:$B$29,Lister!$B$20)-+SUMIFS(G33:G42,$O$33:$O$42,Lister!$D$30,$B$33:$B$42,Lister!$A$24)+SUMIF($O$20:$O$29,Lister!$D$29,G20:G29)-SUMIFS(G20:G29,$O$20:$O$29,Lister!$D$29,$B$20:$B$29,Lister!$B$20)+SUMIFS(G33:G42,$O$33:$O$42,Lister!$D$29,$B$33:$B$42,Lister!$A$24)</f>
        <v>0</v>
      </c>
      <c r="H48" s="109">
        <f>+SUMIF($O$20:$O$29,Lister!$D$30,H20:H29)-SUMIFS(H20:H29,$O$20:$O$29,Lister!$D$30,$B$20:$B$29,Lister!$B$20)-+SUMIFS(H33:H42,$O$33:$O$42,Lister!$D$30,$B$33:$B$42,Lister!$A$24)+SUMIF($O$20:$O$29,Lister!$D$29,H20:H29)-SUMIFS(H20:H29,$O$20:$O$29,Lister!$D$29,$B$20:$B$29,Lister!$B$20)+SUMIFS(H33:H42,$O$33:$O$42,Lister!$D$29,$B$33:$B$42,Lister!$A$24)</f>
        <v>0</v>
      </c>
      <c r="I48" s="109">
        <f>+SUMIF($O$20:$O$29,Lister!$D$30,I20:I29)-SUMIFS(I20:I29,$O$20:$O$29,Lister!$D$30,$B$20:$B$29,Lister!$B$20)-+SUMIFS(I33:I42,$O$33:$O$42,Lister!$D$30,$B$33:$B$42,Lister!$A$24)+SUMIF($O$20:$O$29,Lister!$D$29,I20:I29)-SUMIFS(I20:I29,$O$20:$O$29,Lister!$D$29,$B$20:$B$29,Lister!$B$20)+SUMIFS(I33:I42,$O$33:$O$42,Lister!$D$29,$B$33:$B$42,Lister!$A$24)</f>
        <v>0</v>
      </c>
      <c r="J48" s="109">
        <f>+SUMIF($O$20:$O$29,Lister!$D$30,J20:J29)-SUMIFS(J20:J29,$O$20:$O$29,Lister!$D$30,$B$20:$B$29,Lister!$B$20)-+SUMIFS(J33:J42,$O$33:$O$42,Lister!$D$30,$B$33:$B$42,Lister!$A$24)+SUMIF($O$20:$O$29,Lister!$D$29,J20:J29)-SUMIFS(J20:J29,$O$20:$O$29,Lister!$D$29,$B$20:$B$29,Lister!$B$20)+SUMIFS(J33:J42,$O$33:$O$42,Lister!$D$29,$B$33:$B$42,Lister!$A$24)</f>
        <v>0</v>
      </c>
      <c r="K48" s="109">
        <f>+SUMIF($O$20:$O$29,Lister!$D$30,K20:K29)-SUMIFS(K20:K29,$O$20:$O$29,Lister!$D$30,$B$20:$B$29,Lister!$B$20)-+SUMIFS(K33:K42,$O$33:$O$42,Lister!$D$30,$B$33:$B$42,Lister!$A$24)+SUMIF($O$20:$O$29,Lister!$D$29,K20:K29)-SUMIFS(K20:K29,$O$20:$O$29,Lister!$D$29,$B$20:$B$29,Lister!$B$20)+SUMIFS(K33:K42,$O$33:$O$42,Lister!$D$29,$B$33:$B$42,Lister!$A$24)</f>
        <v>0</v>
      </c>
      <c r="L48" s="109">
        <f>+SUMIF($O$20:$O$29,Lister!$D$30,L20:L29)-SUMIFS(L20:L29,$O$20:$O$29,Lister!$D$30,$B$20:$B$29,Lister!$B$20)-+SUMIFS(L33:L42,$O$33:$O$42,Lister!$D$30,$B$33:$B$42,Lister!$A$24)+SUMIF($O$20:$O$29,Lister!$D$29,L20:L29)-SUMIFS(L20:L29,$O$20:$O$29,Lister!$D$29,$B$20:$B$29,Lister!$B$20)+SUMIFS(L33:L42,$O$33:$O$42,Lister!$D$29,$B$33:$B$42,Lister!$A$24)</f>
        <v>0</v>
      </c>
      <c r="M48" s="48"/>
      <c r="N48" s="48"/>
      <c r="O48" s="48"/>
      <c r="P48" s="48"/>
      <c r="Q48" s="23"/>
      <c r="R48" s="5"/>
      <c r="S48" s="4"/>
      <c r="T48" s="4"/>
      <c r="U48" s="4"/>
      <c r="V48" s="4"/>
      <c r="W48" s="4"/>
      <c r="X48" s="4"/>
      <c r="Y48" s="4"/>
      <c r="Z48" s="4"/>
      <c r="AA48" s="4"/>
      <c r="AB48" s="4"/>
      <c r="AC48" s="5"/>
      <c r="AD48" s="70"/>
      <c r="AE48" s="76"/>
      <c r="AF48" s="76"/>
      <c r="AG48" s="70"/>
      <c r="AH48" s="77"/>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row>
    <row r="49" spans="1:65" ht="15.6" hidden="1" customHeight="1" x14ac:dyDescent="0.2">
      <c r="A49" s="9" t="s">
        <v>186</v>
      </c>
      <c r="B49" s="48"/>
      <c r="C49" s="109">
        <f>+SUMIF($O$20:$O$29,Lister!$D$31,C20:C29)-SUMIFS(C20:C29,$O$20:$O$29,Lister!$D$31,$B$20:$B$29,Lister!$B$20)+SUMIFS(C33:C42,$O$33:$O$42,Lister!$D$31,$B$33:$B$42,Lister!$A$24)</f>
        <v>0</v>
      </c>
      <c r="D49" s="109">
        <f>+SUMIF($O$20:$O$29,Lister!$D$31,D20:D29)-SUMIFS(D20:D29,$O$20:$O$29,Lister!$D$31,$B$20:$B$29,Lister!$B$20)+SUMIFS(D33:D42,$O$33:$O$42,Lister!$D$31,$B$33:$B$42,Lister!$A$24)</f>
        <v>0</v>
      </c>
      <c r="E49" s="109">
        <f>+SUMIF($O$20:$O$29,Lister!$D$31,E20:E29)-SUMIFS(E20:E29,$O$20:$O$29,Lister!$D$31,$B$20:$B$29,Lister!$B$20)+SUMIFS(E33:E42,$O$33:$O$42,Lister!$D$31,$B$33:$B$42,Lister!$A$24)</f>
        <v>0</v>
      </c>
      <c r="F49" s="109">
        <f>+SUMIF($O$20:$O$29,Lister!$D$31,F20:F29)-SUMIFS(F20:F29,$O$20:$O$29,Lister!$D$31,$B$20:$B$29,Lister!$B$20)+SUMIFS(F33:F42,$O$33:$O$42,Lister!$D$31,$B$33:$B$42,Lister!$A$24)</f>
        <v>0</v>
      </c>
      <c r="G49" s="109">
        <f>+SUMIF($O$20:$O$29,Lister!$D$31,G20:G29)-SUMIFS(G20:G29,$O$20:$O$29,Lister!$D$31,$B$20:$B$29,Lister!$B$20)+SUMIFS(G33:G42,$O$33:$O$42,Lister!$D$31,$B$33:$B$42,Lister!$A$24)</f>
        <v>0</v>
      </c>
      <c r="H49" s="109">
        <f>+SUMIF($O$20:$O$29,Lister!$D$31,H20:H29)-SUMIFS(H20:H29,$O$20:$O$29,Lister!$D$31,$B$20:$B$29,Lister!$B$20)+SUMIFS(H33:H42,$O$33:$O$42,Lister!$D$31,$B$33:$B$42,Lister!$A$24)</f>
        <v>0</v>
      </c>
      <c r="I49" s="109">
        <f>+SUMIF($O$20:$O$29,Lister!$D$31,I20:I29)-SUMIFS(I20:I29,$O$20:$O$29,Lister!$D$31,$B$20:$B$29,Lister!$B$20)+SUMIFS(I33:I42,$O$33:$O$42,Lister!$D$31,$B$33:$B$42,Lister!$A$24)</f>
        <v>0</v>
      </c>
      <c r="J49" s="109">
        <f>+SUMIF($O$20:$O$29,Lister!$D$31,J20:J29)-SUMIFS(J20:J29,$O$20:$O$29,Lister!$D$31,$B$20:$B$29,Lister!$B$20)+SUMIFS(J33:J42,$O$33:$O$42,Lister!$D$31,$B$33:$B$42,Lister!$A$24)</f>
        <v>0</v>
      </c>
      <c r="K49" s="109">
        <f>+SUMIF($O$20:$O$29,Lister!$D$31,K20:K29)-SUMIFS(K20:K29,$O$20:$O$29,Lister!$D$31,$B$20:$B$29,Lister!$B$20)+SUMIFS(K33:K42,$O$33:$O$42,Lister!$D$31,$B$33:$B$42,Lister!$A$24)</f>
        <v>0</v>
      </c>
      <c r="L49" s="109">
        <f>+SUMIF($O$20:$O$29,Lister!$D$31,L20:L29)-SUMIFS(L20:L29,$O$20:$O$29,Lister!$D$31,$B$20:$B$29,Lister!$B$20)+SUMIFS(L33:L42,$O$33:$O$42,Lister!$D$31,$B$33:$B$42,Lister!$A$24)</f>
        <v>0</v>
      </c>
      <c r="M49" s="48"/>
      <c r="N49" s="48"/>
      <c r="O49" s="48"/>
      <c r="P49" s="48"/>
      <c r="Q49" s="23"/>
      <c r="R49" s="5"/>
      <c r="S49" s="4"/>
      <c r="T49" s="4"/>
      <c r="U49" s="4"/>
      <c r="V49" s="4"/>
      <c r="W49" s="4"/>
      <c r="X49" s="4"/>
      <c r="Y49" s="4"/>
      <c r="Z49" s="4"/>
      <c r="AA49" s="4"/>
      <c r="AB49" s="4"/>
      <c r="AC49" s="5"/>
      <c r="AD49" s="70"/>
      <c r="AE49" s="76"/>
      <c r="AF49" s="76"/>
      <c r="AG49" s="70"/>
      <c r="AH49" s="77"/>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row>
    <row r="50" spans="1:65" ht="15.6" customHeight="1" x14ac:dyDescent="0.2">
      <c r="A50" s="9"/>
      <c r="B50" s="48"/>
      <c r="C50" s="48"/>
      <c r="D50" s="48"/>
      <c r="E50" s="48"/>
      <c r="F50" s="48"/>
      <c r="G50" s="48"/>
      <c r="H50" s="48"/>
      <c r="I50" s="48"/>
      <c r="J50" s="48"/>
      <c r="K50" s="48"/>
      <c r="L50" s="48"/>
      <c r="M50" s="48"/>
      <c r="N50" s="48"/>
      <c r="O50" s="48"/>
      <c r="P50" s="48"/>
      <c r="Q50" s="70"/>
      <c r="R50" s="70"/>
      <c r="S50" s="77"/>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row>
    <row r="51" spans="1:65" ht="15.6" customHeight="1" thickBot="1" x14ac:dyDescent="0.25">
      <c r="A51" s="4" t="s">
        <v>91</v>
      </c>
      <c r="B51" s="8"/>
      <c r="C51" s="8">
        <f t="shared" ref="C51:L51" si="88">+C19</f>
        <v>2025</v>
      </c>
      <c r="D51" s="8">
        <f t="shared" si="88"/>
        <v>2026</v>
      </c>
      <c r="E51" s="8">
        <f t="shared" si="88"/>
        <v>2027</v>
      </c>
      <c r="F51" s="8">
        <f t="shared" si="88"/>
        <v>2028</v>
      </c>
      <c r="G51" s="8">
        <f t="shared" si="88"/>
        <v>2029</v>
      </c>
      <c r="H51" s="8">
        <f t="shared" si="88"/>
        <v>2030</v>
      </c>
      <c r="I51" s="8">
        <f t="shared" si="88"/>
        <v>2031</v>
      </c>
      <c r="J51" s="8">
        <f t="shared" si="88"/>
        <v>2032</v>
      </c>
      <c r="K51" s="8">
        <f t="shared" si="88"/>
        <v>2033</v>
      </c>
      <c r="L51" s="8">
        <f t="shared" si="88"/>
        <v>2034</v>
      </c>
      <c r="M51" s="8" t="s">
        <v>34</v>
      </c>
      <c r="N51" s="8"/>
      <c r="O51" s="8"/>
      <c r="P51" s="8"/>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row>
    <row r="52" spans="1:65" s="9" customFormat="1" ht="15.6" customHeight="1" x14ac:dyDescent="0.25">
      <c r="A52" s="230" t="s">
        <v>114</v>
      </c>
      <c r="B52" s="231"/>
      <c r="C52" s="302"/>
      <c r="D52" s="302"/>
      <c r="E52" s="302"/>
      <c r="F52" s="302"/>
      <c r="G52" s="302"/>
      <c r="H52" s="302"/>
      <c r="I52" s="302"/>
      <c r="J52" s="302"/>
      <c r="K52" s="302"/>
      <c r="L52" s="302"/>
      <c r="M52" s="21">
        <f>SUM(C52:L52)</f>
        <v>0</v>
      </c>
      <c r="N52" s="299"/>
      <c r="O52" s="299" t="s">
        <v>113</v>
      </c>
      <c r="P52" s="7"/>
      <c r="Q52" s="129" t="s">
        <v>101</v>
      </c>
      <c r="R52" s="132"/>
      <c r="S52" s="130"/>
      <c r="T52" s="144"/>
      <c r="U52" s="144"/>
      <c r="V52" s="144"/>
      <c r="W52" s="144"/>
      <c r="X52" s="319"/>
      <c r="Y52" s="144"/>
      <c r="Z52" s="144"/>
      <c r="AA52" s="144"/>
      <c r="AB52" s="144"/>
      <c r="AC52" s="132"/>
      <c r="AF52" s="70"/>
      <c r="AG52" s="70"/>
      <c r="AH52" s="70"/>
      <c r="AI52" s="70"/>
      <c r="AJ52" s="70"/>
      <c r="AK52" s="70"/>
      <c r="AL52" s="70"/>
      <c r="AM52" s="70"/>
      <c r="AN52" s="70"/>
      <c r="AO52" s="70"/>
      <c r="AP52" s="70"/>
      <c r="AQ52" s="70"/>
      <c r="AR52" s="71"/>
      <c r="AS52" s="71"/>
      <c r="AT52" s="71"/>
      <c r="AU52" s="71"/>
      <c r="AV52" s="71"/>
      <c r="AW52" s="71"/>
      <c r="AX52" s="71"/>
      <c r="AY52" s="71"/>
      <c r="AZ52" s="71"/>
    </row>
    <row r="53" spans="1:65" ht="15.6" customHeight="1" x14ac:dyDescent="0.2">
      <c r="A53" s="210" t="s">
        <v>114</v>
      </c>
      <c r="B53" s="16"/>
      <c r="C53" s="302"/>
      <c r="D53" s="302"/>
      <c r="E53" s="302"/>
      <c r="F53" s="302"/>
      <c r="G53" s="302"/>
      <c r="H53" s="302"/>
      <c r="I53" s="302"/>
      <c r="J53" s="302"/>
      <c r="K53" s="302"/>
      <c r="L53" s="302"/>
      <c r="M53" s="21">
        <f t="shared" ref="M53:M65" si="89">SUM(C53:L53)</f>
        <v>0</v>
      </c>
      <c r="N53" s="299"/>
      <c r="O53" s="299" t="s">
        <v>113</v>
      </c>
      <c r="Q53" s="116" t="s">
        <v>22</v>
      </c>
      <c r="R53" s="133" t="s">
        <v>34</v>
      </c>
      <c r="S53" s="45">
        <f>+S19</f>
        <v>2025</v>
      </c>
      <c r="T53" s="45">
        <f>+S53+1</f>
        <v>2026</v>
      </c>
      <c r="U53" s="8">
        <f t="shared" ref="U53:Z53" si="90">+T53+1</f>
        <v>2027</v>
      </c>
      <c r="V53" s="8">
        <f t="shared" si="90"/>
        <v>2028</v>
      </c>
      <c r="W53" s="8">
        <f t="shared" si="90"/>
        <v>2029</v>
      </c>
      <c r="X53" s="133">
        <f t="shared" si="90"/>
        <v>2030</v>
      </c>
      <c r="Y53" s="8">
        <f t="shared" si="90"/>
        <v>2031</v>
      </c>
      <c r="Z53" s="8">
        <f t="shared" si="90"/>
        <v>2032</v>
      </c>
      <c r="AA53" s="8">
        <f t="shared" ref="AA53" si="91">+Z53+1</f>
        <v>2033</v>
      </c>
      <c r="AB53" s="8">
        <f t="shared" ref="AB53" si="92">+AA53+1</f>
        <v>2034</v>
      </c>
      <c r="AC53" s="133" t="s">
        <v>34</v>
      </c>
      <c r="AF53" s="71"/>
      <c r="AG53" s="71"/>
      <c r="AH53" s="71"/>
      <c r="AI53" s="71"/>
      <c r="AJ53" s="71"/>
      <c r="AK53" s="71"/>
      <c r="AL53" s="71"/>
      <c r="AM53" s="71"/>
      <c r="AN53" s="71"/>
      <c r="AO53" s="71"/>
      <c r="AP53" s="71"/>
      <c r="AQ53" s="71"/>
      <c r="AR53" s="70"/>
      <c r="AS53" s="70"/>
      <c r="AT53" s="70"/>
      <c r="AU53" s="70"/>
      <c r="AV53" s="70"/>
      <c r="AW53" s="70"/>
      <c r="AX53" s="70"/>
      <c r="AY53" s="70"/>
      <c r="AZ53" s="70"/>
    </row>
    <row r="54" spans="1:65" ht="15.6" customHeight="1" x14ac:dyDescent="0.2">
      <c r="A54" s="230" t="s">
        <v>114</v>
      </c>
      <c r="B54" s="231"/>
      <c r="C54" s="302"/>
      <c r="D54" s="302"/>
      <c r="E54" s="302"/>
      <c r="F54" s="302"/>
      <c r="G54" s="302"/>
      <c r="H54" s="302"/>
      <c r="I54" s="302"/>
      <c r="J54" s="302"/>
      <c r="K54" s="302"/>
      <c r="L54" s="302"/>
      <c r="M54" s="21">
        <f t="shared" si="89"/>
        <v>0</v>
      </c>
      <c r="N54" s="299"/>
      <c r="O54" s="299" t="s">
        <v>113</v>
      </c>
      <c r="P54" s="128"/>
      <c r="Q54" s="156" t="s">
        <v>74</v>
      </c>
      <c r="R54" s="333">
        <f t="shared" ref="R54:R63" si="93">+AC54</f>
        <v>0</v>
      </c>
      <c r="S54" s="331">
        <f t="shared" ref="S54:Z54" si="94">+S30</f>
        <v>0</v>
      </c>
      <c r="T54" s="331">
        <f t="shared" si="94"/>
        <v>0</v>
      </c>
      <c r="U54" s="331">
        <f t="shared" si="94"/>
        <v>0</v>
      </c>
      <c r="V54" s="331">
        <f t="shared" si="94"/>
        <v>0</v>
      </c>
      <c r="W54" s="331">
        <f t="shared" si="94"/>
        <v>0</v>
      </c>
      <c r="X54" s="332">
        <f t="shared" si="94"/>
        <v>0</v>
      </c>
      <c r="Y54" s="309">
        <f t="shared" si="94"/>
        <v>0</v>
      </c>
      <c r="Z54" s="28">
        <f t="shared" si="94"/>
        <v>0</v>
      </c>
      <c r="AA54" s="28">
        <f t="shared" ref="AA54:AB54" si="95">+AA30</f>
        <v>0</v>
      </c>
      <c r="AB54" s="28">
        <f t="shared" si="95"/>
        <v>0</v>
      </c>
      <c r="AC54" s="134">
        <f>SUM(S54:AB54)</f>
        <v>0</v>
      </c>
      <c r="AF54" s="70"/>
      <c r="AG54" s="70"/>
      <c r="AH54" s="70"/>
      <c r="AI54" s="70"/>
      <c r="AJ54" s="70"/>
      <c r="AK54" s="70"/>
      <c r="AL54" s="70"/>
      <c r="AM54" s="70"/>
      <c r="AN54" s="70"/>
      <c r="AO54" s="70"/>
      <c r="AP54" s="70"/>
      <c r="AQ54" s="70"/>
      <c r="AR54" s="70"/>
      <c r="AS54" s="70"/>
      <c r="AT54" s="70"/>
      <c r="AU54" s="70"/>
      <c r="AV54" s="70"/>
      <c r="AW54" s="70"/>
      <c r="AX54" s="70"/>
      <c r="AY54" s="70"/>
      <c r="AZ54" s="70"/>
    </row>
    <row r="55" spans="1:65" ht="15.6" customHeight="1" x14ac:dyDescent="0.2">
      <c r="A55" s="210" t="s">
        <v>114</v>
      </c>
      <c r="B55" s="16"/>
      <c r="C55" s="302"/>
      <c r="D55" s="302"/>
      <c r="E55" s="302"/>
      <c r="F55" s="302"/>
      <c r="G55" s="302"/>
      <c r="H55" s="302"/>
      <c r="I55" s="302"/>
      <c r="J55" s="302"/>
      <c r="K55" s="302"/>
      <c r="L55" s="302"/>
      <c r="M55" s="21">
        <f t="shared" si="89"/>
        <v>0</v>
      </c>
      <c r="N55" s="299"/>
      <c r="O55" s="299" t="s">
        <v>113</v>
      </c>
      <c r="P55" s="128"/>
      <c r="Q55" s="157" t="s">
        <v>75</v>
      </c>
      <c r="R55" s="324">
        <f>+AC55</f>
        <v>0</v>
      </c>
      <c r="S55" s="325">
        <f t="shared" ref="S55:Z55" si="96">+S46</f>
        <v>0</v>
      </c>
      <c r="T55" s="325">
        <f t="shared" si="96"/>
        <v>0</v>
      </c>
      <c r="U55" s="325">
        <f t="shared" si="96"/>
        <v>0</v>
      </c>
      <c r="V55" s="325">
        <f t="shared" si="96"/>
        <v>0</v>
      </c>
      <c r="W55" s="325">
        <f t="shared" si="96"/>
        <v>0</v>
      </c>
      <c r="X55" s="326">
        <f t="shared" si="96"/>
        <v>0</v>
      </c>
      <c r="Y55" s="310">
        <f t="shared" si="96"/>
        <v>0</v>
      </c>
      <c r="Z55" s="122">
        <f t="shared" si="96"/>
        <v>0</v>
      </c>
      <c r="AA55" s="122">
        <f t="shared" ref="AA55:AB55" si="97">+AA46</f>
        <v>0</v>
      </c>
      <c r="AB55" s="122">
        <f t="shared" si="97"/>
        <v>0</v>
      </c>
      <c r="AC55" s="150">
        <f t="shared" ref="AC55:AC63" si="98">SUM(S55:AB55)</f>
        <v>0</v>
      </c>
      <c r="AF55" s="70"/>
      <c r="AG55" s="70"/>
      <c r="AH55" s="70"/>
      <c r="AI55" s="70"/>
      <c r="AJ55" s="70"/>
      <c r="AK55" s="70"/>
      <c r="AL55" s="70"/>
      <c r="AM55" s="70"/>
      <c r="AN55" s="70"/>
      <c r="AO55" s="70"/>
      <c r="AP55" s="70"/>
      <c r="AQ55" s="70"/>
      <c r="AR55" s="70"/>
      <c r="AS55" s="70"/>
      <c r="AT55" s="70"/>
      <c r="AU55" s="70"/>
      <c r="AV55" s="70"/>
      <c r="AW55" s="70"/>
      <c r="AX55" s="70"/>
      <c r="AY55" s="70"/>
      <c r="AZ55" s="70"/>
    </row>
    <row r="56" spans="1:65" ht="15.6" customHeight="1" x14ac:dyDescent="0.2">
      <c r="A56" s="230" t="s">
        <v>114</v>
      </c>
      <c r="B56" s="231"/>
      <c r="C56" s="302"/>
      <c r="D56" s="302"/>
      <c r="E56" s="302"/>
      <c r="F56" s="302"/>
      <c r="G56" s="302"/>
      <c r="H56" s="302"/>
      <c r="I56" s="302"/>
      <c r="J56" s="302"/>
      <c r="K56" s="302"/>
      <c r="L56" s="302"/>
      <c r="M56" s="21">
        <f t="shared" si="89"/>
        <v>0</v>
      </c>
      <c r="N56" s="299"/>
      <c r="O56" s="299" t="s">
        <v>113</v>
      </c>
      <c r="P56" s="128"/>
      <c r="Q56" s="158" t="s">
        <v>76</v>
      </c>
      <c r="R56" s="327">
        <f t="shared" si="93"/>
        <v>0</v>
      </c>
      <c r="S56" s="328">
        <f>+SUM(S54:S55)</f>
        <v>0</v>
      </c>
      <c r="T56" s="328">
        <f t="shared" ref="T56:Z56" si="99">+SUM(T54:T55)</f>
        <v>0</v>
      </c>
      <c r="U56" s="328">
        <f t="shared" si="99"/>
        <v>0</v>
      </c>
      <c r="V56" s="328">
        <f t="shared" si="99"/>
        <v>0</v>
      </c>
      <c r="W56" s="328">
        <f t="shared" si="99"/>
        <v>0</v>
      </c>
      <c r="X56" s="329">
        <f t="shared" si="99"/>
        <v>0</v>
      </c>
      <c r="Y56" s="311">
        <f t="shared" si="99"/>
        <v>0</v>
      </c>
      <c r="Z56" s="146">
        <f t="shared" si="99"/>
        <v>0</v>
      </c>
      <c r="AA56" s="146">
        <f t="shared" ref="AA56:AB56" si="100">+SUM(AA54:AA55)</f>
        <v>0</v>
      </c>
      <c r="AB56" s="146">
        <f t="shared" si="100"/>
        <v>0</v>
      </c>
      <c r="AC56" s="147">
        <f t="shared" si="98"/>
        <v>0</v>
      </c>
      <c r="AF56" s="70"/>
      <c r="AG56" s="70"/>
      <c r="AH56" s="70"/>
      <c r="AI56" s="70"/>
      <c r="AJ56" s="70"/>
      <c r="AK56" s="70"/>
      <c r="AL56" s="70"/>
      <c r="AM56" s="70"/>
      <c r="AN56" s="70"/>
      <c r="AO56" s="70"/>
      <c r="AP56" s="70"/>
      <c r="AQ56" s="70"/>
      <c r="AR56" s="70"/>
      <c r="AS56" s="70"/>
      <c r="AT56" s="70"/>
      <c r="AU56" s="70"/>
      <c r="AV56" s="70"/>
      <c r="AW56" s="70"/>
      <c r="AX56" s="70"/>
      <c r="AY56" s="70"/>
      <c r="AZ56" s="70"/>
    </row>
    <row r="57" spans="1:65" ht="15.6" customHeight="1" x14ac:dyDescent="0.2">
      <c r="A57" s="210" t="s">
        <v>114</v>
      </c>
      <c r="B57" s="16"/>
      <c r="C57" s="302"/>
      <c r="D57" s="302"/>
      <c r="E57" s="302"/>
      <c r="F57" s="302"/>
      <c r="G57" s="302"/>
      <c r="H57" s="302"/>
      <c r="I57" s="302"/>
      <c r="J57" s="302"/>
      <c r="K57" s="302"/>
      <c r="L57" s="302"/>
      <c r="M57" s="21">
        <f t="shared" si="89"/>
        <v>0</v>
      </c>
      <c r="N57" s="299"/>
      <c r="O57" s="299" t="s">
        <v>113</v>
      </c>
      <c r="P57" s="128"/>
      <c r="Q57" s="158" t="s">
        <v>77</v>
      </c>
      <c r="R57" s="327">
        <f t="shared" si="93"/>
        <v>0</v>
      </c>
      <c r="S57" s="328">
        <f>+C65</f>
        <v>0</v>
      </c>
      <c r="T57" s="328">
        <f t="shared" ref="T57:AB57" si="101">+D65</f>
        <v>0</v>
      </c>
      <c r="U57" s="328">
        <f t="shared" si="101"/>
        <v>0</v>
      </c>
      <c r="V57" s="328">
        <f t="shared" si="101"/>
        <v>0</v>
      </c>
      <c r="W57" s="328">
        <f t="shared" si="101"/>
        <v>0</v>
      </c>
      <c r="X57" s="329">
        <f t="shared" si="101"/>
        <v>0</v>
      </c>
      <c r="Y57" s="311">
        <f t="shared" si="101"/>
        <v>0</v>
      </c>
      <c r="Z57" s="146">
        <f t="shared" si="101"/>
        <v>0</v>
      </c>
      <c r="AA57" s="146">
        <f t="shared" si="101"/>
        <v>0</v>
      </c>
      <c r="AB57" s="146">
        <f t="shared" si="101"/>
        <v>0</v>
      </c>
      <c r="AC57" s="147">
        <f t="shared" si="98"/>
        <v>0</v>
      </c>
      <c r="AF57" s="70"/>
      <c r="AG57" s="70"/>
      <c r="AH57" s="70"/>
      <c r="AI57" s="70"/>
      <c r="AJ57" s="70"/>
      <c r="AK57" s="70"/>
      <c r="AL57" s="70"/>
      <c r="AM57" s="70"/>
      <c r="AN57" s="70"/>
      <c r="AO57" s="70"/>
      <c r="AP57" s="70"/>
      <c r="AQ57" s="70"/>
      <c r="AR57" s="70"/>
      <c r="AS57" s="70"/>
      <c r="AT57" s="70"/>
      <c r="AU57" s="70"/>
      <c r="AV57" s="70"/>
      <c r="AW57" s="70"/>
      <c r="AX57" s="70"/>
      <c r="AY57" s="70"/>
      <c r="AZ57" s="70"/>
    </row>
    <row r="58" spans="1:65" ht="15.6" customHeight="1" x14ac:dyDescent="0.2">
      <c r="A58" s="230" t="s">
        <v>114</v>
      </c>
      <c r="B58" s="231"/>
      <c r="C58" s="302"/>
      <c r="D58" s="302"/>
      <c r="E58" s="302"/>
      <c r="F58" s="302"/>
      <c r="G58" s="302"/>
      <c r="H58" s="302"/>
      <c r="I58" s="302"/>
      <c r="J58" s="302"/>
      <c r="K58" s="302"/>
      <c r="L58" s="302"/>
      <c r="M58" s="21">
        <f t="shared" si="89"/>
        <v>0</v>
      </c>
      <c r="N58" s="299"/>
      <c r="O58" s="299" t="s">
        <v>113</v>
      </c>
      <c r="P58" s="128"/>
      <c r="Q58" s="158" t="s">
        <v>78</v>
      </c>
      <c r="R58" s="327">
        <f t="shared" si="93"/>
        <v>0</v>
      </c>
      <c r="S58" s="328">
        <f>+S57+S56</f>
        <v>0</v>
      </c>
      <c r="T58" s="328">
        <f t="shared" ref="T58:Z58" si="102">+T57+T56</f>
        <v>0</v>
      </c>
      <c r="U58" s="328">
        <f t="shared" si="102"/>
        <v>0</v>
      </c>
      <c r="V58" s="328">
        <f t="shared" si="102"/>
        <v>0</v>
      </c>
      <c r="W58" s="328">
        <f t="shared" si="102"/>
        <v>0</v>
      </c>
      <c r="X58" s="329">
        <f t="shared" si="102"/>
        <v>0</v>
      </c>
      <c r="Y58" s="311">
        <f t="shared" si="102"/>
        <v>0</v>
      </c>
      <c r="Z58" s="146">
        <f t="shared" si="102"/>
        <v>0</v>
      </c>
      <c r="AA58" s="146">
        <f t="shared" ref="AA58:AB58" si="103">+AA57+AA56</f>
        <v>0</v>
      </c>
      <c r="AB58" s="146">
        <f t="shared" si="103"/>
        <v>0</v>
      </c>
      <c r="AC58" s="147">
        <f t="shared" si="98"/>
        <v>0</v>
      </c>
      <c r="AF58" s="70"/>
      <c r="AG58" s="70"/>
      <c r="AH58" s="70"/>
      <c r="AI58" s="70"/>
      <c r="AJ58" s="70"/>
      <c r="AK58" s="70"/>
      <c r="AL58" s="70"/>
      <c r="AM58" s="70"/>
      <c r="AN58" s="70"/>
      <c r="AO58" s="70"/>
      <c r="AP58" s="70"/>
      <c r="AQ58" s="70"/>
      <c r="AR58" s="70"/>
      <c r="AS58" s="70"/>
      <c r="AT58" s="70"/>
      <c r="AU58" s="70"/>
      <c r="AV58" s="70"/>
      <c r="AW58" s="70"/>
      <c r="AX58" s="70"/>
      <c r="AY58" s="70"/>
      <c r="AZ58" s="70"/>
    </row>
    <row r="59" spans="1:65" ht="15.6" customHeight="1" x14ac:dyDescent="0.2">
      <c r="A59" s="210" t="s">
        <v>114</v>
      </c>
      <c r="B59" s="16"/>
      <c r="C59" s="302"/>
      <c r="D59" s="302"/>
      <c r="E59" s="302"/>
      <c r="F59" s="302"/>
      <c r="G59" s="302"/>
      <c r="H59" s="302"/>
      <c r="I59" s="302"/>
      <c r="J59" s="302"/>
      <c r="K59" s="302"/>
      <c r="L59" s="302"/>
      <c r="M59" s="21">
        <f t="shared" si="89"/>
        <v>0</v>
      </c>
      <c r="N59" s="299"/>
      <c r="O59" s="299" t="s">
        <v>113</v>
      </c>
      <c r="P59" s="128"/>
      <c r="Q59" s="159" t="s">
        <v>0</v>
      </c>
      <c r="R59" s="327">
        <f t="shared" si="93"/>
        <v>0</v>
      </c>
      <c r="S59" s="162">
        <f>IF(C12=2,S56*C6/100,IF($G$6=Lister!$D$4,(S56*$C$6)/100,IF($G$6=Lister!$D$5,(S58*$C$6)/100,IF($G$6=Lister!$D$6,((S58-SUMIF($A$52:$A$62,Lister!$M$10,C52:C62))*$C$6)/100,IF($G$6=Lister!$D$7,(S57*$C$6)/100,0)))))</f>
        <v>0</v>
      </c>
      <c r="T59" s="162">
        <f>IF(D12=2,T56*D6/100,IF($G$6=Lister!$D$4,(T56*$C$6)/100,IF($G$6=Lister!$D$5,(T58*$C$6)/100,IF($G$6=Lister!$D$6,((T58-SUMIF($A$52:$A$62,Lister!$M$10,D52:D62))*$C$6)/100,IF($G$6=Lister!$D$7,(T57*$C$6)/100,0)))))</f>
        <v>0</v>
      </c>
      <c r="U59" s="162">
        <f>IF(E12=2,U56*E6/100,IF($G$6=Lister!$D$4,(U56*$C$6)/100,IF($G$6=Lister!$D$5,(U58*$C$6)/100,IF($G$6=Lister!$D$6,((U58-SUMIF($A$52:$A$62,Lister!$M$10,E52:E62))*$C$6)/100,IF($G$6=Lister!$D$7,(U57*$C$6)/100,0)))))</f>
        <v>0</v>
      </c>
      <c r="V59" s="162">
        <f>IF(F12=2,V56*F6/100,IF($G$6=Lister!$D$4,(V56*$C$6)/100,IF($G$6=Lister!$D$5,(V58*$C$6)/100,IF($G$6=Lister!$D$6,((V58-SUMIF($A$52:$A$62,Lister!$M$10,F52:F62))*$C$6)/100,IF($G$6=Lister!$D$7,(V57*$C$6)/100,0)))))</f>
        <v>0</v>
      </c>
      <c r="W59" s="162">
        <f>IF(G12=2,W56*G6/100,IF($G$6=Lister!$D$4,(W56*$C$6)/100,IF($G$6=Lister!$D$5,(W58*$C$6)/100,IF($G$6=Lister!$D$6,((W58-SUMIF($A$52:$A$62,Lister!$M$10,G52:G62))*$C$6)/100,IF($G$6=Lister!$D$7,(W57*$C$6)/100,0)))))</f>
        <v>0</v>
      </c>
      <c r="X59" s="315">
        <f>IF(H12=2,X56*H6/100,IF($G$6=Lister!$D$4,(X56*$C$6)/100,IF($G$6=Lister!$D$5,(X58*$C$6)/100,IF($G$6=Lister!$D$6,((X58-SUMIF($A$52:$A$62,Lister!$M$10,H52:H62))*$C$6)/100,IF($G$6=Lister!$D$7,(X57*$C$6)/100,0)))))</f>
        <v>0</v>
      </c>
      <c r="Y59" s="312">
        <f>IF(I12=2,Y56*I6/100,IF($G$6=Lister!$D$4,(Y56*$C$6)/100,IF($G$6=Lister!$D$5,(Y58*$C$6)/100,IF($G$6=Lister!$D$6,((Y58-SUMIF($A$52:$A$62,Lister!$M$10,I52:I62))*$C$6)/100,IF($G$6=Lister!$D$7,(Y57*$C$6)/100,0)))))</f>
        <v>0</v>
      </c>
      <c r="Z59" s="21">
        <f>IF(J12=2,Z56*J6/100,IF($G$6=Lister!$D$4,(Z56*$C$6)/100,IF($G$6=Lister!$D$5,(Z58*$C$6)/100,IF($G$6=Lister!$D$6,((Z58-SUMIF($A$52:$A$62,Lister!$M$10,J52:J62))*$C$6)/100,IF($G$6=Lister!$D$7,(Z57*$C$6)/100,0)))))</f>
        <v>0</v>
      </c>
      <c r="AA59" s="21">
        <f>IF(K12=2,AA56*K6/100,IF($G$6=Lister!$D$4,(AA56*$C$6)/100,IF($G$6=Lister!$D$5,(AA58*$C$6)/100,IF($G$6=Lister!$D$6,((AA58-SUMIF($A$52:$A$62,Lister!$M$10,K52:K62))*$C$6)/100,IF($G$6=Lister!$D$7,(AA57*$C$6)/100,0)))))</f>
        <v>0</v>
      </c>
      <c r="AB59" s="21">
        <f>IF(L12=2,AB56*L6/100,IF($G$6=Lister!$D$4,(AB56*$C$6)/100,IF($G$6=Lister!$D$5,(AB58*$C$6)/100,IF($G$6=Lister!$D$6,((AB58-SUMIF($A$52:$A$62,Lister!$M$10,L52:L62))*$C$6)/100,IF($G$6=Lister!$D$7,(AB57*$C$6)/100,0)))))</f>
        <v>0</v>
      </c>
      <c r="AC59" s="147">
        <f t="shared" si="98"/>
        <v>0</v>
      </c>
      <c r="AF59" s="70"/>
      <c r="AG59" s="70"/>
      <c r="AH59" s="70"/>
      <c r="AI59" s="70"/>
      <c r="AJ59" s="70"/>
      <c r="AK59" s="70"/>
      <c r="AL59" s="70"/>
      <c r="AM59" s="70"/>
      <c r="AN59" s="70"/>
      <c r="AO59" s="70"/>
      <c r="AP59" s="70"/>
      <c r="AQ59" s="70"/>
      <c r="AR59" s="70"/>
      <c r="AS59" s="70"/>
      <c r="AT59" s="70"/>
      <c r="AU59" s="70"/>
      <c r="AV59" s="70"/>
      <c r="AW59" s="70"/>
      <c r="AX59" s="70"/>
      <c r="AY59" s="70"/>
      <c r="AZ59" s="70"/>
    </row>
    <row r="60" spans="1:65" ht="15.6" customHeight="1" x14ac:dyDescent="0.2">
      <c r="A60" s="230" t="s">
        <v>114</v>
      </c>
      <c r="B60" s="231"/>
      <c r="C60" s="302"/>
      <c r="D60" s="302"/>
      <c r="E60" s="302"/>
      <c r="F60" s="302"/>
      <c r="G60" s="302"/>
      <c r="H60" s="302"/>
      <c r="I60" s="302"/>
      <c r="J60" s="302"/>
      <c r="K60" s="302"/>
      <c r="L60" s="302"/>
      <c r="M60" s="21">
        <f t="shared" si="89"/>
        <v>0</v>
      </c>
      <c r="N60" s="299"/>
      <c r="O60" s="299" t="s">
        <v>113</v>
      </c>
      <c r="P60" s="128"/>
      <c r="Q60" s="160" t="s">
        <v>103</v>
      </c>
      <c r="R60" s="327">
        <f t="shared" si="93"/>
        <v>0</v>
      </c>
      <c r="S60" s="162">
        <f>+IF($C$8=Lister!$O$5,C$30*Takstblad!C$81,0)</f>
        <v>0</v>
      </c>
      <c r="T60" s="162">
        <f>+IF($C$8=Lister!$O$5,D$30*Takstblad!D$81,0)</f>
        <v>0</v>
      </c>
      <c r="U60" s="162">
        <f>+IF($C$8=Lister!$O$5,E$30*Takstblad!E$81,0)</f>
        <v>0</v>
      </c>
      <c r="V60" s="162">
        <f>+IF($C$8=Lister!$O$5,F$30*Takstblad!F$81,0)</f>
        <v>0</v>
      </c>
      <c r="W60" s="162">
        <f>+IF($C$8=Lister!$O$5,G$30*Takstblad!G$81,0)</f>
        <v>0</v>
      </c>
      <c r="X60" s="315">
        <f>+IF($C$8=Lister!$O$5,H$30*Takstblad!H$81,0)</f>
        <v>0</v>
      </c>
      <c r="Y60" s="312">
        <f>+IF($C$8=Lister!$O$5,I$30*Takstblad!I$81,0)</f>
        <v>0</v>
      </c>
      <c r="Z60" s="21">
        <f>+IF($C$8=Lister!$O$5,J$30*Takstblad!J$81,0)</f>
        <v>0</v>
      </c>
      <c r="AA60" s="21">
        <f>+IF($C$8=Lister!$O$5,K$30*Takstblad!K$81,0)</f>
        <v>0</v>
      </c>
      <c r="AB60" s="21">
        <f>+IF($C$8=Lister!$O$5,L$30*Takstblad!L$81,0)</f>
        <v>0</v>
      </c>
      <c r="AC60" s="147">
        <f t="shared" si="98"/>
        <v>0</v>
      </c>
      <c r="AF60" s="70"/>
      <c r="AG60" s="70"/>
      <c r="AH60" s="70"/>
      <c r="AI60" s="70"/>
      <c r="AJ60" s="70"/>
      <c r="AK60" s="70"/>
      <c r="AL60" s="70"/>
      <c r="AM60" s="70"/>
      <c r="AN60" s="70"/>
      <c r="AO60" s="70"/>
      <c r="AP60" s="70"/>
      <c r="AQ60" s="70"/>
      <c r="AR60" s="70"/>
      <c r="AS60" s="70"/>
      <c r="AT60" s="70"/>
      <c r="AU60" s="70"/>
      <c r="AV60" s="70"/>
      <c r="AW60" s="70"/>
      <c r="AX60" s="70"/>
      <c r="AY60" s="70"/>
      <c r="AZ60" s="70"/>
    </row>
    <row r="61" spans="1:65" ht="17.45" customHeight="1" x14ac:dyDescent="0.2">
      <c r="A61" s="210" t="s">
        <v>114</v>
      </c>
      <c r="B61" s="16"/>
      <c r="C61" s="302"/>
      <c r="D61" s="302"/>
      <c r="E61" s="302"/>
      <c r="F61" s="302"/>
      <c r="G61" s="302"/>
      <c r="H61" s="302"/>
      <c r="I61" s="302"/>
      <c r="J61" s="302"/>
      <c r="K61" s="302"/>
      <c r="L61" s="302"/>
      <c r="M61" s="21">
        <f t="shared" si="89"/>
        <v>0</v>
      </c>
      <c r="N61" s="299"/>
      <c r="O61" s="299" t="s">
        <v>113</v>
      </c>
      <c r="P61" s="128"/>
      <c r="Q61" s="160" t="s">
        <v>108</v>
      </c>
      <c r="R61" s="327">
        <f t="shared" si="93"/>
        <v>0</v>
      </c>
      <c r="S61" s="162">
        <f>+S77+S91</f>
        <v>0</v>
      </c>
      <c r="T61" s="162">
        <f>+IF($C$8="Project-Supplement",((SUMIF($A$20:$A$29,"PhD",D$20:D$29)+SUMIF($A$20:$A$29,"Research Assistant - avr. rate",D$20:D$29)+SUMIF($A$20:$A$29,"Research Assistant - low rate",D$20:D$29)+SUMIF($A$20:$A$29,"Post doc.",D$20:D$29))/12)*Takstblad!D$82,0)</f>
        <v>0</v>
      </c>
      <c r="U61" s="162">
        <f>+IF($C$8="Project-Supplement",((SUMIF($A$20:$A$29,"PhD",E$20:E$29)+SUMIF($A$20:$A$29,"Research Assistant - avr. rate",E$20:E$29)+SUMIF($A$20:$A$29,"Research Assistant - low rate",E$20:E$29)+SUMIF($A$20:$A$29,"Post doc.",E$20:E$29))/12)*Takstblad!E$82,0)</f>
        <v>0</v>
      </c>
      <c r="V61" s="162">
        <f>+IF($C$8="Project-Supplement",((SUMIF($A$20:$A$29,"PhD",F$20:F$29)+SUMIF($A$20:$A$29,"Research Assistant - avr. rate",F$20:F$29)+SUMIF($A$20:$A$29,"Research Assistant - low rate",F$20:F$29)+SUMIF($A$20:$A$29,"Post doc.",F$20:F$29))/12)*Takstblad!F$82,0)</f>
        <v>0</v>
      </c>
      <c r="W61" s="162">
        <f>+IF($C$8="Project-Supplement",((SUMIF($A$20:$A$29,"PhD",G$20:G$29)+SUMIF($A$20:$A$29,"Research Assistant - avr. rate",G$20:G$29)+SUMIF($A$20:$A$29,"Research Assistant - low rate",G$20:G$29)+SUMIF($A$20:$A$29,"Post doc.",G$20:G$29))/12)*Takstblad!G$82,0)</f>
        <v>0</v>
      </c>
      <c r="X61" s="315">
        <f>+IF($C$8="Project-Supplement",((SUMIF($A$20:$A$29,"PhD",H$20:H$29)+SUMIF($A$20:$A$29,"Research Assistant - avr. rate",H$20:H$29)+SUMIF($A$20:$A$29,"Research Assistant - low rate",H$20:H$29)+SUMIF($A$20:$A$29,"Post doc.",H$20:H$29))/12)*Takstblad!H$82,0)</f>
        <v>0</v>
      </c>
      <c r="Y61" s="312">
        <f>+IF($C$8="Project-Supplement",((SUMIF($A$20:$A$29,"PhD",I$20:I$29)+SUMIF($A$20:$A$29,"Research Assistant - avr. rate",I$20:I$29)+SUMIF($A$20:$A$29,"Research Assistant - low rate",I$20:I$29)+SUMIF($A$20:$A$29,"Post doc.",I$20:I$29))/12)*Takstblad!I$82,0)</f>
        <v>0</v>
      </c>
      <c r="Z61" s="21">
        <f>+IF($C$8="Project-Supplement",((SUMIF($A$20:$A$29,"PhD",J$20:J$29)+SUMIF($A$20:$A$29,"Research Assistant - avr. rate",J$20:J$29)+SUMIF($A$20:$A$29,"Research Assistant - low rate",J$20:J$29)+SUMIF($A$20:$A$29,"Post doc.",J$20:J$29))/12)*Takstblad!J$82,0)</f>
        <v>0</v>
      </c>
      <c r="AA61" s="21">
        <f>+IF($C$8="Project-Supplement",((SUMIF($A$20:$A$29,"PhD",K$20:K$29)+SUMIF($A$20:$A$29,"Research Assistant - avr. rate",K$20:K$29)+SUMIF($A$20:$A$29,"Research Assistant - low rate",K$20:K$29)+SUMIF($A$20:$A$29,"Post doc.",K$20:K$29))/12)*Takstblad!K$82,0)</f>
        <v>0</v>
      </c>
      <c r="AB61" s="21">
        <f>+IF($C$8="Project-Supplement",((SUMIF($A$20:$A$29,"PhD",L$20:L$29)+SUMIF($A$20:$A$29,"Research Assistant - avr. rate",L$20:L$29)+SUMIF($A$20:$A$29,"Research Assistant - low rate",L$20:L$29)+SUMIF($A$20:$A$29,"Post doc.",L$20:L$29))/12)*Takstblad!L$82,0)</f>
        <v>0</v>
      </c>
      <c r="AC61" s="147">
        <f t="shared" si="98"/>
        <v>0</v>
      </c>
      <c r="AF61" s="70"/>
      <c r="AG61" s="70"/>
      <c r="AH61" s="70"/>
      <c r="AI61" s="70"/>
      <c r="AJ61" s="70"/>
      <c r="AK61" s="70"/>
      <c r="AL61" s="70"/>
      <c r="AM61" s="70"/>
      <c r="AN61" s="70"/>
      <c r="AO61" s="70"/>
      <c r="AP61" s="70"/>
      <c r="AQ61" s="70"/>
      <c r="AR61" s="70"/>
      <c r="AS61" s="70"/>
      <c r="AT61" s="70"/>
      <c r="AU61" s="70"/>
      <c r="AV61" s="70"/>
      <c r="AW61" s="70"/>
      <c r="AX61" s="70"/>
      <c r="AY61" s="70"/>
      <c r="AZ61" s="70"/>
    </row>
    <row r="62" spans="1:65" s="11" customFormat="1" ht="15.6" customHeight="1" x14ac:dyDescent="0.2">
      <c r="A62" s="230" t="s">
        <v>114</v>
      </c>
      <c r="B62" s="231"/>
      <c r="C62" s="302"/>
      <c r="D62" s="302"/>
      <c r="E62" s="302"/>
      <c r="F62" s="302"/>
      <c r="G62" s="302"/>
      <c r="H62" s="302"/>
      <c r="I62" s="302"/>
      <c r="J62" s="302"/>
      <c r="K62" s="302"/>
      <c r="L62" s="302"/>
      <c r="M62" s="21">
        <f t="shared" si="89"/>
        <v>0</v>
      </c>
      <c r="N62" s="299"/>
      <c r="O62" s="299" t="s">
        <v>113</v>
      </c>
      <c r="P62" s="128"/>
      <c r="Q62" s="159" t="s">
        <v>545</v>
      </c>
      <c r="R62" s="327">
        <f t="shared" si="93"/>
        <v>0</v>
      </c>
      <c r="S62" s="162" t="str">
        <f>IF($C$12=2,(SUM(S58:S61)*$C$13)/100,"0")</f>
        <v>0</v>
      </c>
      <c r="T62" s="162" t="str">
        <f t="shared" ref="T62:Z62" si="104">IF($C$12=2,(SUM(T58:T61)*$C$13)/100,"0")</f>
        <v>0</v>
      </c>
      <c r="U62" s="162" t="str">
        <f t="shared" si="104"/>
        <v>0</v>
      </c>
      <c r="V62" s="162" t="str">
        <f t="shared" si="104"/>
        <v>0</v>
      </c>
      <c r="W62" s="162" t="str">
        <f t="shared" si="104"/>
        <v>0</v>
      </c>
      <c r="X62" s="315" t="str">
        <f t="shared" si="104"/>
        <v>0</v>
      </c>
      <c r="Y62" s="313" t="str">
        <f t="shared" si="104"/>
        <v>0</v>
      </c>
      <c r="Z62" s="162" t="str">
        <f t="shared" si="104"/>
        <v>0</v>
      </c>
      <c r="AA62" s="162" t="str">
        <f t="shared" ref="AA62:AB62" si="105">IF($C$12=2,(SUM(AA58:AA61)*$C$13)/100,"0")</f>
        <v>0</v>
      </c>
      <c r="AB62" s="162" t="str">
        <f t="shared" si="105"/>
        <v>0</v>
      </c>
      <c r="AC62" s="147">
        <f t="shared" si="98"/>
        <v>0</v>
      </c>
      <c r="AF62" s="70"/>
      <c r="AG62" s="70"/>
      <c r="AH62" s="70"/>
      <c r="AI62" s="70"/>
      <c r="AJ62" s="70"/>
      <c r="AK62" s="70"/>
      <c r="AL62" s="70"/>
      <c r="AM62" s="70"/>
      <c r="AN62" s="70"/>
      <c r="AO62" s="70"/>
      <c r="AP62" s="70"/>
      <c r="AQ62" s="70"/>
      <c r="AR62" s="78"/>
      <c r="AS62" s="78"/>
      <c r="AT62" s="78"/>
      <c r="AU62" s="78"/>
      <c r="AV62" s="78"/>
      <c r="AW62" s="78"/>
      <c r="AX62" s="78"/>
      <c r="AY62" s="78"/>
      <c r="AZ62" s="78"/>
    </row>
    <row r="63" spans="1:65" s="11" customFormat="1" ht="15.6" customHeight="1" x14ac:dyDescent="0.2">
      <c r="A63" s="5" t="s">
        <v>234</v>
      </c>
      <c r="B63" s="16"/>
      <c r="C63" s="28">
        <f>IFERROR(IF($C$12=2,0,IF($C$8="project-supplement",0,IF(OR($G$7="Salary and Operations",$G$7="Operations"),(VLOOKUP($C$2,Takstblad!$B$68:$L$80,2,FALSE)*C$67)))),0)</f>
        <v>0</v>
      </c>
      <c r="D63" s="28">
        <f>IFERROR(IF($C$12=2,0,IF($C$8="project-supplement",0,IF(OR($G$7="Salary and Operations",$G$7="Operations"),(VLOOKUP($C$2,Takstblad!$B$68:$L$80,3,FALSE)*D$67)))),0)</f>
        <v>0</v>
      </c>
      <c r="E63" s="28">
        <f>IFERROR(IF($C$12=2,0,IF($C$8="project-supplement",0,IF(OR($G$7="Salary and Operations",$G$7="Operations"),(VLOOKUP($C$2,Takstblad!$B$68:$L$80,4,FALSE)*E$67)))),0)</f>
        <v>0</v>
      </c>
      <c r="F63" s="28">
        <f>IFERROR(IF($C$12=2,0,IF($C$8="project-supplement",0,IF(OR($G$7="Salary and Operations",$G$7="Operations"),(VLOOKUP($C$2,Takstblad!$B$68:$L$80,5,FALSE)*F$67)))),0)</f>
        <v>0</v>
      </c>
      <c r="G63" s="28">
        <f>IFERROR(IF($C$12=2,0,IF($C$8="project-supplement",0,IF(OR($G$7="Salary and Operations",$G$7="Operations"),(VLOOKUP($C$2,Takstblad!$B$68:$L$80,6,FALSE)*G$67)))),0)</f>
        <v>0</v>
      </c>
      <c r="H63" s="28">
        <f>IFERROR(IF($C$12=2,0,IF($C$8="project-supplement",0,IF(OR($G$7="Salary and Operations",$G$7="Operations"),(VLOOKUP($C$2,Takstblad!$B$68:$L$80,7,FALSE)*H$67)))),0)</f>
        <v>0</v>
      </c>
      <c r="I63" s="28">
        <f>IFERROR(IF($C$12=2,0,IF($C$8="project-supplement",0,IF(OR($G$7="Salary and Operations",$G$7="Operations"),(VLOOKUP($C$2,Takstblad!$B$68:$L$80,8,FALSE)*I$67)))),0)</f>
        <v>0</v>
      </c>
      <c r="J63" s="28">
        <f>IFERROR(IF($C$12=2,0,IF($C$8="project-supplement",0,IF(OR($G$7="Salary and Operations",$G$7="Operations"),(VLOOKUP($C$2,Takstblad!$B$68:$L$80,9,FALSE)*J$67)))),0)</f>
        <v>0</v>
      </c>
      <c r="K63" s="28">
        <f>IFERROR(IF($C$12=2,0,IF($C$8="project-supplement",0,IF(OR($G$7="Salary and Operations",$G$7="Operations"),(VLOOKUP($C$2,Takstblad!$B$68:$L$80,10,FALSE)*K$67)))),0)</f>
        <v>0</v>
      </c>
      <c r="L63" s="28">
        <f>IFERROR(IF($C$12=2,0,IF($C$8="project-supplement",0,IF(OR($G$7="Salary and Operations",$G$7="Operations"),(VLOOKUP($C$2,Takstblad!$B$68:$L$80,11,FALSE)*L$67)))),0)</f>
        <v>0</v>
      </c>
      <c r="M63" s="21">
        <f t="shared" si="89"/>
        <v>0</v>
      </c>
      <c r="N63" s="21"/>
      <c r="O63" s="236" t="s">
        <v>152</v>
      </c>
      <c r="P63" s="127"/>
      <c r="Q63" s="158" t="s">
        <v>101</v>
      </c>
      <c r="R63" s="327">
        <f t="shared" si="93"/>
        <v>0</v>
      </c>
      <c r="S63" s="328">
        <f>+SUM(S58:S62)</f>
        <v>0</v>
      </c>
      <c r="T63" s="328">
        <f t="shared" ref="T63:Z63" si="106">+SUM(T58:T62)</f>
        <v>0</v>
      </c>
      <c r="U63" s="328">
        <f t="shared" si="106"/>
        <v>0</v>
      </c>
      <c r="V63" s="328">
        <f t="shared" si="106"/>
        <v>0</v>
      </c>
      <c r="W63" s="328">
        <f t="shared" si="106"/>
        <v>0</v>
      </c>
      <c r="X63" s="329">
        <f t="shared" si="106"/>
        <v>0</v>
      </c>
      <c r="Y63" s="311">
        <f t="shared" si="106"/>
        <v>0</v>
      </c>
      <c r="Z63" s="146">
        <f t="shared" si="106"/>
        <v>0</v>
      </c>
      <c r="AA63" s="146">
        <f t="shared" ref="AA63:AB63" si="107">+SUM(AA58:AA62)</f>
        <v>0</v>
      </c>
      <c r="AB63" s="146">
        <f t="shared" si="107"/>
        <v>0</v>
      </c>
      <c r="AC63" s="147">
        <f t="shared" si="98"/>
        <v>0</v>
      </c>
      <c r="AF63" s="70"/>
      <c r="AG63" s="70"/>
      <c r="AH63" s="70"/>
      <c r="AI63" s="70"/>
      <c r="AJ63" s="70"/>
      <c r="AK63" s="70"/>
      <c r="AL63" s="70"/>
      <c r="AM63" s="70"/>
      <c r="AN63" s="70"/>
      <c r="AO63" s="70"/>
      <c r="AP63" s="70"/>
      <c r="AQ63" s="70"/>
      <c r="AR63" s="78"/>
      <c r="AS63" s="78"/>
      <c r="AT63" s="78"/>
      <c r="AU63" s="78"/>
      <c r="AV63" s="78"/>
      <c r="AW63" s="78"/>
      <c r="AX63" s="78"/>
      <c r="AY63" s="78"/>
      <c r="AZ63" s="78"/>
    </row>
    <row r="64" spans="1:65" ht="15" customHeight="1" thickBot="1" x14ac:dyDescent="0.25">
      <c r="A64" s="5" t="s">
        <v>764</v>
      </c>
      <c r="B64" s="16"/>
      <c r="C64" s="28">
        <f>IFERROR(IF($C$12=2,0,IF($C$8="project-supplement",0,IF(OR($G$7="Salary and Operations",$G$7="Operations"),(VLOOKUP($C$2,Takstblad!$B$68:$L$80,2,FALSE)*C$68)))),0)</f>
        <v>0</v>
      </c>
      <c r="D64" s="28">
        <f>IFERROR(IF($C$12=2,0,IF($C$8="project-supplement",0,IF(OR($G$7="Salary and Operations",$G$7="Operations"),(VLOOKUP($C$2,Takstblad!$B$68:$L$80,3,FALSE)*D$68)))),0)</f>
        <v>0</v>
      </c>
      <c r="E64" s="28">
        <f>IFERROR(IF($C$12=2,0,IF($C$8="project-supplement",0,IF(OR($G$7="Salary and Operations",$G$7="Operations"),(VLOOKUP($C$2,Takstblad!$B$68:$L$80,4,FALSE)*E$68)))),0)</f>
        <v>0</v>
      </c>
      <c r="F64" s="28">
        <f>IFERROR(IF($C$12=2,0,IF($C$8="project-supplement",0,IF(OR($G$7="Salary and Operations",$G$7="Operations"),(VLOOKUP($C$2,Takstblad!$B$68:$L$80,5,FALSE)*F$68)))),0)</f>
        <v>0</v>
      </c>
      <c r="G64" s="28">
        <f>IFERROR(IF($C$12=2,0,IF($C$8="project-supplement",0,IF(OR($G$7="Salary and Operations",$G$7="Operations"),(VLOOKUP($C$2,Takstblad!$B$68:$L$80,6,FALSE)*G$68)))),0)</f>
        <v>0</v>
      </c>
      <c r="H64" s="28">
        <f>IFERROR(IF($C$12=2,0,IF($C$8="project-supplement",0,IF(OR($G$7="Salary and Operations",$G$7="Operations"),(VLOOKUP($C$2,Takstblad!$B$68:$L$80,7,FALSE)*H$68)))),0)</f>
        <v>0</v>
      </c>
      <c r="I64" s="28">
        <f>IFERROR(IF($C$12=2,0,IF($C$8="project-supplement",0,IF(OR($G$7="Salary and Operations",$G$7="Operations"),(VLOOKUP($C$2,Takstblad!$B$68:$L$80,8,FALSE)*I$68)))),0)</f>
        <v>0</v>
      </c>
      <c r="J64" s="28">
        <f>IFERROR(IF($C$12=2,0,IF($C$8="project-supplement",0,IF(OR($G$7="Salary and Operations",$G$7="Operations"),(VLOOKUP($C$2,Takstblad!$B$68:$L$80,9,FALSE)*J$68)))),0)</f>
        <v>0</v>
      </c>
      <c r="K64" s="28">
        <f>IFERROR(IF($C$12=2,0,IF($C$8="project-supplement",0,IF(OR($G$7="Salary and Operations",$G$7="Operations"),(VLOOKUP($C$2,Takstblad!$B$68:$L$80,10,FALSE)*K$68)))),0)</f>
        <v>0</v>
      </c>
      <c r="L64" s="28">
        <f>IFERROR(IF($C$12=2,0,IF($C$8="project-supplement",0,IF(OR($G$7="Salary and Operations",$G$7="Operations"),(VLOOKUP($C$2,Takstblad!$B$68:$L$80,11,FALSE)*L$68)))),0)</f>
        <v>0</v>
      </c>
      <c r="M64" s="21">
        <f t="shared" si="89"/>
        <v>0</v>
      </c>
      <c r="N64" s="95"/>
      <c r="O64" s="236" t="s">
        <v>112</v>
      </c>
      <c r="P64" s="127"/>
      <c r="Q64" s="136"/>
      <c r="R64" s="138"/>
      <c r="S64" s="137"/>
      <c r="T64" s="137"/>
      <c r="U64" s="137"/>
      <c r="V64" s="137"/>
      <c r="W64" s="137"/>
      <c r="X64" s="138"/>
      <c r="Y64" s="137"/>
      <c r="Z64" s="137"/>
      <c r="AA64" s="137"/>
      <c r="AB64" s="137"/>
      <c r="AC64" s="138"/>
      <c r="AF64" s="78"/>
      <c r="AG64" s="78"/>
      <c r="AH64" s="78"/>
      <c r="AI64" s="78"/>
      <c r="AJ64" s="78"/>
      <c r="AK64" s="78"/>
      <c r="AL64" s="78"/>
      <c r="AM64" s="78"/>
      <c r="AN64" s="78"/>
      <c r="AO64" s="78"/>
      <c r="AP64" s="78"/>
      <c r="AQ64" s="78"/>
      <c r="AR64" s="70"/>
      <c r="AS64" s="70"/>
      <c r="AT64" s="70"/>
      <c r="AU64" s="70"/>
      <c r="AV64" s="70"/>
      <c r="AW64" s="70"/>
      <c r="AX64" s="70"/>
      <c r="AY64" s="70"/>
      <c r="AZ64" s="70"/>
    </row>
    <row r="65" spans="1:62" ht="15" customHeight="1" thickBot="1" x14ac:dyDescent="0.3">
      <c r="A65" s="4" t="s">
        <v>72</v>
      </c>
      <c r="B65" s="16"/>
      <c r="C65" s="22">
        <f>SUM(C52:C64)-SUMIF($A$52:$A$62,Lister!$M$9,C52:C62)</f>
        <v>0</v>
      </c>
      <c r="D65" s="22">
        <f>SUM(D52:D64)-SUMIF($A$52:$A$62,Lister!$M$9,D52:D62)</f>
        <v>0</v>
      </c>
      <c r="E65" s="22">
        <f>SUM(E52:E64)-SUMIF($A$52:$A$62,Lister!$M$9,E52:E62)</f>
        <v>0</v>
      </c>
      <c r="F65" s="22">
        <f>SUM(F52:F64)-SUMIF($A$52:$A$62,Lister!$M$9,F52:F62)</f>
        <v>0</v>
      </c>
      <c r="G65" s="22">
        <f>SUM(G52:G64)-SUMIF($A$52:$A$62,Lister!$M$9,G52:G62)</f>
        <v>0</v>
      </c>
      <c r="H65" s="22">
        <f>SUM(H52:H64)-SUMIF($A$52:$A$62,Lister!$M$9,H52:H62)</f>
        <v>0</v>
      </c>
      <c r="I65" s="51">
        <f>SUM(I52:I64)-SUMIF($A$52:$A$62,Lister!$M$9,I52:I62)</f>
        <v>0</v>
      </c>
      <c r="J65" s="51">
        <f>SUM(J52:J64)-SUMIF($A$52:$A$62,Lister!$M$9,J52:J62)</f>
        <v>0</v>
      </c>
      <c r="K65" s="51">
        <f>SUM(K52:K64)-SUMIF($A$52:$A$62,Lister!$M$9,K52:K62)</f>
        <v>0</v>
      </c>
      <c r="L65" s="51">
        <f>SUM(L52:L64)-SUMIF($A$52:$A$62,Lister!$M$9,L52:L62)</f>
        <v>0</v>
      </c>
      <c r="M65" s="13">
        <f t="shared" si="89"/>
        <v>0</v>
      </c>
      <c r="N65" s="13"/>
      <c r="O65" s="16"/>
      <c r="P65" s="16"/>
      <c r="Q65" s="139" t="s">
        <v>605</v>
      </c>
      <c r="R65" s="140"/>
      <c r="S65" s="241"/>
      <c r="T65" s="145"/>
      <c r="U65" s="145"/>
      <c r="V65" s="145"/>
      <c r="W65" s="145"/>
      <c r="X65" s="320"/>
      <c r="Y65" s="145"/>
      <c r="Z65" s="145"/>
      <c r="AA65" s="145"/>
      <c r="AB65" s="145"/>
      <c r="AC65" s="140"/>
      <c r="AF65" s="78"/>
      <c r="AG65" s="78"/>
      <c r="AH65" s="78"/>
      <c r="AI65" s="78"/>
      <c r="AJ65" s="78"/>
      <c r="AK65" s="78"/>
      <c r="AL65" s="78"/>
      <c r="AM65" s="78"/>
      <c r="AN65" s="78"/>
      <c r="AO65" s="78"/>
      <c r="AP65" s="78"/>
      <c r="AQ65" s="78"/>
      <c r="AR65" s="70"/>
      <c r="AS65" s="70"/>
      <c r="AT65" s="70"/>
      <c r="AU65" s="70"/>
      <c r="AV65" s="70"/>
      <c r="AW65" s="70"/>
      <c r="AX65" s="70"/>
      <c r="AY65" s="70"/>
      <c r="AZ65" s="70"/>
    </row>
    <row r="66" spans="1:62" s="9" customFormat="1" ht="15" customHeight="1" x14ac:dyDescent="0.2">
      <c r="A66" s="71"/>
      <c r="B66" s="76"/>
      <c r="C66" s="76"/>
      <c r="D66" s="76"/>
      <c r="E66" s="76"/>
      <c r="F66" s="76"/>
      <c r="G66" s="76"/>
      <c r="H66" s="76"/>
      <c r="I66" s="76"/>
      <c r="J66" s="76"/>
      <c r="K66" s="76"/>
      <c r="L66" s="76"/>
      <c r="M66" s="76"/>
      <c r="N66" s="76"/>
      <c r="O66" s="86"/>
      <c r="P66" s="86"/>
      <c r="Q66" s="141"/>
      <c r="R66" s="142"/>
      <c r="S66" s="16"/>
      <c r="T66" s="76"/>
      <c r="U66" s="76"/>
      <c r="V66" s="76"/>
      <c r="W66" s="76"/>
      <c r="X66" s="142"/>
      <c r="Y66" s="76"/>
      <c r="Z66" s="76"/>
      <c r="AA66" s="76"/>
      <c r="AB66" s="76"/>
      <c r="AC66" s="142"/>
      <c r="AF66" s="70"/>
      <c r="AG66" s="70"/>
      <c r="AH66" s="70"/>
      <c r="AI66" s="70"/>
      <c r="AJ66" s="70"/>
      <c r="AK66" s="70"/>
      <c r="AL66" s="70"/>
      <c r="AM66" s="70"/>
      <c r="AN66" s="70"/>
      <c r="AO66" s="70"/>
      <c r="AP66" s="70"/>
      <c r="AQ66" s="70"/>
      <c r="AR66" s="71"/>
      <c r="AS66" s="71"/>
      <c r="AT66" s="71"/>
      <c r="AU66" s="71"/>
      <c r="AV66" s="71"/>
      <c r="AW66" s="71"/>
      <c r="AX66" s="71"/>
      <c r="AY66" s="71"/>
      <c r="AZ66" s="71"/>
    </row>
    <row r="67" spans="1:62" ht="15" hidden="1" customHeight="1" x14ac:dyDescent="0.2">
      <c r="A67" s="71" t="s">
        <v>196</v>
      </c>
      <c r="B67" s="70"/>
      <c r="C67" s="109">
        <f>SUMIFS(C33:C42,$O$33:$O$42,Lister!$D$30,$B$33:$B$42,Lister!$A$37)+SUMIFS(C33:C42,$O$33:$O$42,Lister!$D$29,$B$33:$B$42,Lister!$A$37)</f>
        <v>0</v>
      </c>
      <c r="D67" s="109">
        <f>SUMIFS(D33:D42,$O$33:$O$42,Lister!$D$30,$B$33:$B$42,Lister!$A$37)+SUMIFS(D33:D42,$O$33:$O$42,Lister!$D$29,$B$33:$B$42,Lister!$A$37)</f>
        <v>0</v>
      </c>
      <c r="E67" s="109">
        <f>SUMIFS(E33:E42,$O$33:$O$42,Lister!$D$30,$B$33:$B$42,Lister!$A$37)+SUMIFS(E33:E42,$O$33:$O$42,Lister!$D$29,$B$33:$B$42,Lister!$A$37)</f>
        <v>0</v>
      </c>
      <c r="F67" s="109">
        <f>SUMIFS(F33:F42,$O$33:$O$42,Lister!$D$30,$B$33:$B$42,Lister!$A$37)+SUMIFS(F33:F42,$O$33:$O$42,Lister!$D$29,$B$33:$B$42,Lister!$A$37)</f>
        <v>0</v>
      </c>
      <c r="G67" s="109">
        <f>SUMIFS(G33:G42,$O$33:$O$42,Lister!$D$30,$B$33:$B$42,Lister!$A$37)+SUMIFS(G33:G42,$O$33:$O$42,Lister!$D$29,$B$33:$B$42,Lister!$A$37)</f>
        <v>0</v>
      </c>
      <c r="H67" s="109">
        <f>SUMIFS(H33:H42,$O$33:$O$42,Lister!$D$30,$B$33:$B$42,Lister!$A$37)+SUMIFS(H33:H42,$O$33:$O$42,Lister!$D$29,$B$33:$B$42,Lister!$A$37)</f>
        <v>0</v>
      </c>
      <c r="I67" s="109">
        <f>SUMIFS(I33:I42,$O$33:$O$42,Lister!$D$30,$B$33:$B$42,Lister!$A$37)+SUMIFS(I33:I42,$O$33:$O$42,Lister!$D$29,$B$33:$B$42,Lister!$A$37)</f>
        <v>0</v>
      </c>
      <c r="J67" s="109">
        <f>SUMIFS(J33:J42,$O$33:$O$42,Lister!$D$30,$B$33:$B$42,Lister!$A$37)+SUMIFS(J33:J42,$O$33:$O$42,Lister!$D$29,$B$33:$B$42,Lister!$A$37)</f>
        <v>0</v>
      </c>
      <c r="K67" s="109">
        <f>SUMIFS(K33:K42,$O$33:$O$42,Lister!$D$30,$B$33:$B$42,Lister!$A$37)+SUMIFS(K33:K42,$O$33:$O$42,Lister!$D$29,$B$33:$B$42,Lister!$A$37)</f>
        <v>0</v>
      </c>
      <c r="L67" s="109">
        <f>SUMIFS(L33:L42,$O$33:$O$42,Lister!$D$30,$B$33:$B$42,Lister!$A$37)+SUMIFS(L33:L42,$O$33:$O$42,Lister!$D$29,$B$33:$B$42,Lister!$A$37)</f>
        <v>0</v>
      </c>
      <c r="M67" s="70"/>
      <c r="N67" s="70"/>
      <c r="O67" s="85"/>
      <c r="P67" s="85"/>
      <c r="Q67" s="141"/>
      <c r="R67" s="142"/>
      <c r="S67" s="16"/>
      <c r="T67" s="76"/>
      <c r="U67" s="76"/>
      <c r="V67" s="76"/>
      <c r="W67" s="76"/>
      <c r="X67" s="142"/>
      <c r="Y67" s="76"/>
      <c r="Z67" s="76"/>
      <c r="AA67" s="76"/>
      <c r="AB67" s="76"/>
      <c r="AC67" s="142"/>
      <c r="AF67" s="70"/>
      <c r="AG67" s="70"/>
      <c r="AH67" s="70"/>
      <c r="AI67" s="70"/>
      <c r="AJ67" s="70"/>
      <c r="AK67" s="70"/>
      <c r="AL67" s="70"/>
      <c r="AM67" s="70"/>
      <c r="AN67" s="70"/>
      <c r="AO67" s="70"/>
      <c r="AP67" s="70"/>
      <c r="AQ67" s="70"/>
      <c r="AR67" s="70"/>
      <c r="AS67" s="70"/>
      <c r="AT67" s="70"/>
      <c r="AU67" s="70"/>
      <c r="AV67" s="70"/>
      <c r="AW67" s="70"/>
      <c r="AX67" s="70"/>
      <c r="AY67" s="70"/>
      <c r="AZ67" s="70"/>
    </row>
    <row r="68" spans="1:62" ht="14.25" hidden="1" customHeight="1" x14ac:dyDescent="0.2">
      <c r="A68" s="71" t="s">
        <v>197</v>
      </c>
      <c r="B68" s="71"/>
      <c r="C68" s="109">
        <f>SUMIFS(C33:C42,$O$33:$O$42,Lister!$D$31,$B$33:$B$42,Lister!$A$37)</f>
        <v>0</v>
      </c>
      <c r="D68" s="109">
        <f>SUMIFS(D33:D42,$O$33:$O$42,Lister!$D$31,$B$33:$B$42,Lister!$A$37)</f>
        <v>0</v>
      </c>
      <c r="E68" s="109">
        <f>SUMIFS(E33:E42,$O$33:$O$42,Lister!$D$31,$B$33:$B$42,Lister!$A$37)</f>
        <v>0</v>
      </c>
      <c r="F68" s="109">
        <f>SUMIFS(F33:F42,$O$33:$O$42,Lister!$D$31,$B$33:$B$42,Lister!$A$37)</f>
        <v>0</v>
      </c>
      <c r="G68" s="109">
        <f>SUMIFS(G33:G42,$O$33:$O$42,Lister!$D$31,$B$33:$B$42,Lister!$A$37)</f>
        <v>0</v>
      </c>
      <c r="H68" s="109">
        <f>SUMIFS(H33:H42,$O$33:$O$42,Lister!$D$31,$B$33:$B$42,Lister!$A$37)</f>
        <v>0</v>
      </c>
      <c r="I68" s="109">
        <f>SUMIFS(I33:I42,$O$33:$O$42,Lister!$D$31,$B$33:$B$42,Lister!$A$37)</f>
        <v>0</v>
      </c>
      <c r="J68" s="109">
        <f>SUMIFS(J33:J42,$O$33:$O$42,Lister!$D$31,$B$33:$B$42,Lister!$A$37)</f>
        <v>0</v>
      </c>
      <c r="K68" s="109">
        <f>SUMIFS(K33:K42,$O$33:$O$42,Lister!$D$31,$B$33:$B$42,Lister!$A$37)</f>
        <v>0</v>
      </c>
      <c r="L68" s="109">
        <f>SUMIFS(L33:L42,$O$33:$O$42,Lister!$D$31,$B$33:$B$42,Lister!$A$37)</f>
        <v>0</v>
      </c>
      <c r="M68" s="71"/>
      <c r="N68" s="71"/>
      <c r="O68" s="87"/>
      <c r="P68" s="87"/>
      <c r="Q68" s="141"/>
      <c r="R68" s="142"/>
      <c r="S68" s="16"/>
      <c r="T68" s="76"/>
      <c r="U68" s="76"/>
      <c r="V68" s="76"/>
      <c r="W68" s="76"/>
      <c r="X68" s="142"/>
      <c r="Y68" s="76"/>
      <c r="Z68" s="76"/>
      <c r="AA68" s="76"/>
      <c r="AB68" s="76"/>
      <c r="AC68" s="142"/>
      <c r="AF68" s="71"/>
      <c r="AG68" s="71"/>
      <c r="AH68" s="71"/>
      <c r="AI68" s="71"/>
      <c r="AJ68" s="71"/>
      <c r="AK68" s="71"/>
      <c r="AL68" s="71"/>
      <c r="AM68" s="71"/>
      <c r="AN68" s="71"/>
      <c r="AO68" s="71"/>
      <c r="AP68" s="71"/>
      <c r="AQ68" s="71"/>
      <c r="AR68" s="70"/>
      <c r="AS68" s="70"/>
    </row>
    <row r="69" spans="1:62" s="9" customFormat="1" ht="14.25" customHeight="1" x14ac:dyDescent="0.2">
      <c r="A69" s="70"/>
      <c r="B69" s="73"/>
      <c r="C69" s="70"/>
      <c r="D69" s="70"/>
      <c r="E69" s="70"/>
      <c r="F69" s="70"/>
      <c r="G69" s="70"/>
      <c r="H69" s="73"/>
      <c r="I69" s="73"/>
      <c r="J69" s="73"/>
      <c r="K69" s="73"/>
      <c r="L69" s="73"/>
      <c r="M69" s="73"/>
      <c r="N69" s="73"/>
      <c r="O69" s="88"/>
      <c r="P69" s="88"/>
      <c r="Q69" s="161" t="s">
        <v>22</v>
      </c>
      <c r="R69" s="133" t="s">
        <v>34</v>
      </c>
      <c r="S69" s="45">
        <f>+S53</f>
        <v>2025</v>
      </c>
      <c r="T69" s="8">
        <f t="shared" ref="T69:Z69" si="108">+T53</f>
        <v>2026</v>
      </c>
      <c r="U69" s="8">
        <f t="shared" si="108"/>
        <v>2027</v>
      </c>
      <c r="V69" s="8">
        <f t="shared" si="108"/>
        <v>2028</v>
      </c>
      <c r="W69" s="8">
        <f t="shared" si="108"/>
        <v>2029</v>
      </c>
      <c r="X69" s="133">
        <f t="shared" si="108"/>
        <v>2030</v>
      </c>
      <c r="Y69" s="8">
        <f t="shared" si="108"/>
        <v>2031</v>
      </c>
      <c r="Z69" s="8">
        <f t="shared" si="108"/>
        <v>2032</v>
      </c>
      <c r="AA69" s="8">
        <f t="shared" ref="AA69:AB69" si="109">+AA53</f>
        <v>2033</v>
      </c>
      <c r="AB69" s="8">
        <f t="shared" si="109"/>
        <v>2034</v>
      </c>
      <c r="AC69" s="133" t="s">
        <v>34</v>
      </c>
      <c r="AF69" s="71"/>
      <c r="AG69" s="71"/>
      <c r="AH69" s="71"/>
      <c r="AI69" s="71"/>
      <c r="AJ69" s="71"/>
      <c r="AK69" s="71"/>
      <c r="AL69" s="71"/>
      <c r="AM69" s="71"/>
      <c r="AN69" s="71"/>
      <c r="AO69" s="71"/>
      <c r="AP69" s="71"/>
      <c r="AQ69" s="71"/>
      <c r="AR69" s="71"/>
      <c r="AS69" s="71"/>
    </row>
    <row r="70" spans="1:62" s="9" customFormat="1" ht="14.25" customHeight="1" x14ac:dyDescent="0.2">
      <c r="A70" s="70"/>
      <c r="B70" s="78"/>
      <c r="C70" s="78"/>
      <c r="D70" s="78"/>
      <c r="E70" s="78"/>
      <c r="F70" s="78"/>
      <c r="G70" s="78"/>
      <c r="H70" s="78"/>
      <c r="I70" s="78"/>
      <c r="J70" s="78"/>
      <c r="K70" s="78"/>
      <c r="L70" s="78"/>
      <c r="M70" s="78"/>
      <c r="N70" s="78"/>
      <c r="O70" s="89"/>
      <c r="P70" s="89"/>
      <c r="Q70" s="156" t="s">
        <v>74</v>
      </c>
      <c r="R70" s="330">
        <f t="shared" ref="R70:R79" si="110">+AC70</f>
        <v>0</v>
      </c>
      <c r="S70" s="331">
        <f>+SUMIF($O$20:$O$29,Lister!$D$29,S20:S29)+SUMIF($O$20:$O$29,Lister!$D$30,S20:S29)</f>
        <v>0</v>
      </c>
      <c r="T70" s="334">
        <f>+SUMIF($O$20:$O$29,Lister!$D$29,T20:T29)+SUMIF($O$20:$O$29,Lister!$D$30,T20:T29)</f>
        <v>0</v>
      </c>
      <c r="U70" s="331">
        <f>+SUMIF($O$20:$O$29,Lister!$D$29,U20:U29)+SUMIF($O$20:$O$29,Lister!$D$30,U20:U29)</f>
        <v>0</v>
      </c>
      <c r="V70" s="334">
        <f>+SUMIF($O$20:$O$29,Lister!$D$29,V20:V29)+SUMIF($O$20:$O$29,Lister!$D$30,V20:V29)</f>
        <v>0</v>
      </c>
      <c r="W70" s="331">
        <f>+SUMIF($O$20:$O$29,Lister!$D$29,W20:W29)+SUMIF($O$20:$O$29,Lister!$D$30,W20:W29)</f>
        <v>0</v>
      </c>
      <c r="X70" s="335">
        <f>+SUMIF($O$20:$O$29,Lister!$D$29,X20:X29)+SUMIF($O$20:$O$29,Lister!$D$30,X20:X29)</f>
        <v>0</v>
      </c>
      <c r="Y70" s="309">
        <f>+SUMIF($O$20:$O$29,Lister!$D$29,Y20:Y29)+SUMIF($O$20:$O$29,Lister!$D$30,Y20:Y29)</f>
        <v>0</v>
      </c>
      <c r="Z70" s="28">
        <f>+SUMIF($O$20:$O$29,Lister!$D$29,Z20:Z29)+SUMIF($O$20:$O$29,Lister!$D$30,Z20:Z29)</f>
        <v>0</v>
      </c>
      <c r="AA70" s="28">
        <f>+SUMIF($O$20:$O$29,Lister!$D$29,AA20:AA29)+SUMIF($O$20:$O$29,Lister!$D$30,AA20:AA29)</f>
        <v>0</v>
      </c>
      <c r="AB70" s="28">
        <f>+SUMIF($O$20:$O$29,Lister!$D$29,AB20:AB29)+SUMIF($O$20:$O$29,Lister!$D$30,AB20:AB29)</f>
        <v>0</v>
      </c>
      <c r="AC70" s="149">
        <f>SUM(S70:AB70)</f>
        <v>0</v>
      </c>
      <c r="AF70" s="71"/>
      <c r="AG70" s="71"/>
      <c r="AH70" s="71"/>
      <c r="AI70" s="71"/>
      <c r="AJ70" s="71"/>
      <c r="AK70" s="71"/>
      <c r="AL70" s="71"/>
      <c r="AM70" s="71"/>
      <c r="AN70" s="71"/>
      <c r="AO70" s="71"/>
      <c r="AP70" s="71"/>
      <c r="AQ70" s="71"/>
      <c r="AR70" s="71"/>
      <c r="AS70" s="71"/>
    </row>
    <row r="71" spans="1:62" ht="14.25" customHeight="1" x14ac:dyDescent="0.2">
      <c r="N71" s="78"/>
      <c r="O71" s="89"/>
      <c r="P71" s="89"/>
      <c r="Q71" s="157" t="s">
        <v>75</v>
      </c>
      <c r="R71" s="324">
        <f t="shared" si="110"/>
        <v>0</v>
      </c>
      <c r="S71" s="325">
        <f>+SUMIF($O$33:$O$45,Lister!$D$29,S33:S45)+SUMIF($O$33:$O$45,Lister!$D$30,S33:S45)</f>
        <v>0</v>
      </c>
      <c r="T71" s="336">
        <f>+SUMIF($O$33:$O$45,Lister!$D$29,T33:T45)+SUMIF($O$33:$O$45,Lister!$D$30,T33:T45)</f>
        <v>0</v>
      </c>
      <c r="U71" s="325">
        <f>+SUMIF($O$33:$O$45,Lister!$D$29,U33:U45)+SUMIF($O$33:$O$45,Lister!$D$30,U33:U45)</f>
        <v>0</v>
      </c>
      <c r="V71" s="336">
        <f>+SUMIF($O$33:$O$45,Lister!$D$29,V33:V45)+SUMIF($O$33:$O$45,Lister!$D$30,V33:V45)</f>
        <v>0</v>
      </c>
      <c r="W71" s="325">
        <f>+SUMIF($O$33:$O$45,Lister!$D$29,W33:W45)+SUMIF($O$33:$O$45,Lister!$D$30,W33:W45)</f>
        <v>0</v>
      </c>
      <c r="X71" s="337">
        <f>+SUMIF($O$33:$O$45,Lister!$D$29,X33:X45)+SUMIF($O$33:$O$45,Lister!$D$30,X33:X45)</f>
        <v>0</v>
      </c>
      <c r="Y71" s="310">
        <f>+SUMIF($O$33:$O$45,Lister!$D$29,Y33:Y45)+SUMIF($O$33:$O$45,Lister!$D$30,Y33:Y45)</f>
        <v>0</v>
      </c>
      <c r="Z71" s="122">
        <f>+SUMIF($O$33:$O$45,Lister!$D$29,Z33:Z45)+SUMIF($O$33:$O$45,Lister!$D$30,Z33:Z45)</f>
        <v>0</v>
      </c>
      <c r="AA71" s="122">
        <f>+SUMIF($O$33:$O$45,Lister!$D$29,AA33:AA45)+SUMIF($O$33:$O$45,Lister!$D$30,AA33:AA45)</f>
        <v>0</v>
      </c>
      <c r="AB71" s="122">
        <f>+SUMIF($O$33:$O$45,Lister!$D$29,AB33:AB45)+SUMIF($O$33:$O$45,Lister!$D$30,AB33:AB45)</f>
        <v>0</v>
      </c>
      <c r="AC71" s="150">
        <f t="shared" ref="AC71:AC79" si="111">SUM(S71:AB71)</f>
        <v>0</v>
      </c>
      <c r="AF71" s="71"/>
      <c r="AG71" s="71"/>
      <c r="AH71" s="71"/>
      <c r="AI71" s="71"/>
      <c r="AJ71" s="71"/>
      <c r="AK71" s="71"/>
      <c r="AL71" s="71"/>
      <c r="AM71" s="71"/>
      <c r="AN71" s="71"/>
      <c r="AO71" s="71"/>
      <c r="AP71" s="71"/>
      <c r="AQ71" s="71"/>
      <c r="AR71" s="70"/>
      <c r="AS71" s="70"/>
    </row>
    <row r="72" spans="1:62" s="14" customFormat="1" ht="14.25" customHeight="1" x14ac:dyDescent="0.2">
      <c r="N72" s="70"/>
      <c r="O72" s="85"/>
      <c r="P72" s="85"/>
      <c r="Q72" s="158" t="s">
        <v>76</v>
      </c>
      <c r="R72" s="327">
        <f t="shared" si="110"/>
        <v>0</v>
      </c>
      <c r="S72" s="328">
        <f>+SUM(S70:S71)</f>
        <v>0</v>
      </c>
      <c r="T72" s="328">
        <f t="shared" ref="T72" si="112">+SUM(T70:T71)</f>
        <v>0</v>
      </c>
      <c r="U72" s="328">
        <f t="shared" ref="U72" si="113">+SUM(U70:U71)</f>
        <v>0</v>
      </c>
      <c r="V72" s="328">
        <f t="shared" ref="V72" si="114">+SUM(V70:V71)</f>
        <v>0</v>
      </c>
      <c r="W72" s="328">
        <f t="shared" ref="W72" si="115">+SUM(W70:W71)</f>
        <v>0</v>
      </c>
      <c r="X72" s="329">
        <f t="shared" ref="X72" si="116">+SUM(X70:X71)</f>
        <v>0</v>
      </c>
      <c r="Y72" s="151">
        <f t="shared" ref="Y72" si="117">+SUM(Y70:Y71)</f>
        <v>0</v>
      </c>
      <c r="Z72" s="146">
        <f t="shared" ref="Z72:AB72" si="118">+SUM(Z70:Z71)</f>
        <v>0</v>
      </c>
      <c r="AA72" s="146">
        <f t="shared" si="118"/>
        <v>0</v>
      </c>
      <c r="AB72" s="146">
        <f t="shared" si="118"/>
        <v>0</v>
      </c>
      <c r="AC72" s="147">
        <f t="shared" si="111"/>
        <v>0</v>
      </c>
      <c r="AF72" s="71"/>
      <c r="AG72" s="71"/>
      <c r="AH72" s="71"/>
      <c r="AI72" s="71"/>
      <c r="AJ72" s="71"/>
      <c r="AK72" s="71"/>
      <c r="AL72" s="71"/>
      <c r="AM72" s="71"/>
      <c r="AN72" s="71"/>
      <c r="AO72" s="71"/>
      <c r="AP72" s="71"/>
      <c r="AQ72" s="71"/>
      <c r="AR72" s="79"/>
      <c r="AS72" s="79"/>
    </row>
    <row r="73" spans="1:62" ht="14.25" customHeight="1" x14ac:dyDescent="0.2">
      <c r="N73" s="70"/>
      <c r="O73" s="85"/>
      <c r="P73" s="85"/>
      <c r="Q73" s="158" t="s">
        <v>77</v>
      </c>
      <c r="R73" s="327">
        <f t="shared" si="110"/>
        <v>0</v>
      </c>
      <c r="S73" s="328">
        <f>+SUMIF($O$52:$O$64,Lister!$D$29,C52:C64)+SUMIF($O$52:$O$64,Lister!$D$30,C52:C64)-SUMIFS(C52:C64,$O$52:$O$64,Lister!$D$29,$A$52:$A$64,Lister!$M$9)-SUMIFS(C52:C64,$O$52:$O$64,Lister!$D$30,$A$52:$A$64,Lister!$M$9)</f>
        <v>0</v>
      </c>
      <c r="T73" s="328">
        <f>+SUMIF($O$52:$O$64,Lister!$D$29,D52:D64)+SUMIF($O$52:$O$64,Lister!$D$30,D52:D64)-SUMIFS(D52:D64,$O$52:$O$64,Lister!$D$29,$A$52:$A$64,Lister!$M$9)-SUMIFS(D52:D64,$O$52:$O$64,Lister!$D$30,$A$52:$A$64,Lister!$M$9)</f>
        <v>0</v>
      </c>
      <c r="U73" s="328">
        <f>+SUMIF($O$52:$O$64,Lister!$D$29,E52:E64)+SUMIF($O$52:$O$64,Lister!$D$30,E52:E64)-SUMIFS(E52:E64,$O$52:$O$64,Lister!$D$29,$A$52:$A$64,Lister!$M$9)-SUMIFS(E52:E64,$O$52:$O$64,Lister!$D$30,$A$52:$A$64,Lister!$M$9)</f>
        <v>0</v>
      </c>
      <c r="V73" s="328">
        <f>+SUMIF($O$52:$O$64,Lister!$D$29,F52:F64)+SUMIF($O$52:$O$64,Lister!$D$30,F52:F64)-SUMIFS(F52:F64,$O$52:$O$64,Lister!$D$29,$A$52:$A$64,Lister!$M$9)-SUMIFS(F52:F64,$O$52:$O$64,Lister!$D$30,$A$52:$A$64,Lister!$M$9)</f>
        <v>0</v>
      </c>
      <c r="W73" s="328">
        <f>+SUMIF($O$52:$O$64,Lister!$D$29,G52:G64)+SUMIF($O$52:$O$64,Lister!$D$30,G52:G64)-SUMIFS(G52:G64,$O$52:$O$64,Lister!$D$29,$A$52:$A$64,Lister!$M$9)-SUMIFS(G52:G64,$O$52:$O$64,Lister!$D$30,$A$52:$A$64,Lister!$M$9)</f>
        <v>0</v>
      </c>
      <c r="X73" s="329">
        <f>+SUMIF($O$52:$O$64,Lister!$D$29,H52:H64)+SUMIF($O$52:$O$64,Lister!$D$30,H52:H64)-SUMIFS(H52:H64,$O$52:$O$64,Lister!$D$29,$A$52:$A$64,Lister!$M$9)-SUMIFS(H52:H64,$O$52:$O$64,Lister!$D$30,$A$52:$A$64,Lister!$M$9)</f>
        <v>0</v>
      </c>
      <c r="Y73" s="311">
        <f>+SUMIF($O$52:$O$64,Lister!$D$29,I52:I64)+SUMIF($O$52:$O$64,Lister!$D$30,I52:I64)-SUMIFS(I52:I64,$O$52:$O$64,Lister!$D$29,$A$52:$A$64,Lister!$M$9)-SUMIFS(I52:I64,$O$52:$O$64,Lister!$D$30,$A$52:$A$64,Lister!$M$9)</f>
        <v>0</v>
      </c>
      <c r="Z73" s="146">
        <f>+SUMIF($O$52:$O$64,Lister!$D$29,J52:J64)+SUMIF($O$52:$O$64,Lister!$D$30,J52:J64)-SUMIFS(J52:J64,$O$52:$O$64,Lister!$D$29,$A$52:$A$64,Lister!$M$9)-SUMIFS(J52:J64,$O$52:$O$64,Lister!$D$30,$A$52:$A$64,Lister!$M$9)</f>
        <v>0</v>
      </c>
      <c r="AA73" s="146">
        <f>+SUMIF($O$52:$O$64,Lister!$D$29,K52:K64)+SUMIF($O$52:$O$64,Lister!$D$30,K52:K64)-SUMIFS(K52:K64,$O$52:$O$64,Lister!$D$29,$A$52:$A$64,Lister!$M$9)-SUMIFS(K52:K64,$O$52:$O$64,Lister!$D$30,$A$52:$A$64,Lister!$M$9)</f>
        <v>0</v>
      </c>
      <c r="AB73" s="146">
        <f>+SUMIF($O$52:$O$64,Lister!$D$29,L52:L64)+SUMIF($O$52:$O$64,Lister!$D$30,L52:L64)-SUMIFS(L52:L64,$O$52:$O$64,Lister!$D$29,$A$52:$A$64,Lister!$M$9)-SUMIFS(L52:L64,$O$52:$O$64,Lister!$D$30,$A$52:$A$64,Lister!$M$9)</f>
        <v>0</v>
      </c>
      <c r="AC73" s="147">
        <f t="shared" si="111"/>
        <v>0</v>
      </c>
      <c r="AF73" s="70"/>
      <c r="AG73" s="70"/>
      <c r="AH73" s="70"/>
      <c r="AI73" s="70"/>
      <c r="AJ73" s="70"/>
      <c r="AK73" s="70"/>
      <c r="AL73" s="70"/>
      <c r="AM73" s="70"/>
      <c r="AN73" s="70"/>
      <c r="AO73" s="70"/>
      <c r="AP73" s="70"/>
      <c r="AQ73" s="70"/>
      <c r="AR73" s="70"/>
      <c r="AS73" s="70"/>
    </row>
    <row r="74" spans="1:62" s="9" customFormat="1" ht="14.25" customHeight="1" x14ac:dyDescent="0.2">
      <c r="N74" s="79"/>
      <c r="O74" s="90"/>
      <c r="P74" s="90"/>
      <c r="Q74" s="158" t="s">
        <v>78</v>
      </c>
      <c r="R74" s="327">
        <f t="shared" si="110"/>
        <v>0</v>
      </c>
      <c r="S74" s="328">
        <f>+S72+S73</f>
        <v>0</v>
      </c>
      <c r="T74" s="328">
        <f>+T72+T73</f>
        <v>0</v>
      </c>
      <c r="U74" s="328">
        <f>+U72+U73</f>
        <v>0</v>
      </c>
      <c r="V74" s="328">
        <f t="shared" ref="V74:Z74" si="119">+V72+V73</f>
        <v>0</v>
      </c>
      <c r="W74" s="328">
        <f t="shared" si="119"/>
        <v>0</v>
      </c>
      <c r="X74" s="329">
        <f t="shared" si="119"/>
        <v>0</v>
      </c>
      <c r="Y74" s="311">
        <f t="shared" si="119"/>
        <v>0</v>
      </c>
      <c r="Z74" s="146">
        <f t="shared" si="119"/>
        <v>0</v>
      </c>
      <c r="AA74" s="146">
        <f t="shared" ref="AA74:AB74" si="120">+AA72+AA73</f>
        <v>0</v>
      </c>
      <c r="AB74" s="146">
        <f t="shared" si="120"/>
        <v>0</v>
      </c>
      <c r="AC74" s="147">
        <f t="shared" si="111"/>
        <v>0</v>
      </c>
      <c r="AF74" s="79"/>
      <c r="AG74" s="79"/>
      <c r="AH74" s="79"/>
      <c r="AI74" s="79"/>
      <c r="AJ74" s="79"/>
      <c r="AK74" s="79"/>
      <c r="AL74" s="79"/>
      <c r="AM74" s="79"/>
      <c r="AN74" s="79"/>
      <c r="AO74" s="79"/>
      <c r="AP74" s="79"/>
      <c r="AQ74" s="79"/>
      <c r="AR74" s="71"/>
      <c r="AS74" s="71"/>
    </row>
    <row r="75" spans="1:62" ht="14.25" customHeight="1" x14ac:dyDescent="0.2">
      <c r="N75" s="70"/>
      <c r="O75" s="85"/>
      <c r="P75" s="85"/>
      <c r="Q75" s="159" t="s">
        <v>0</v>
      </c>
      <c r="R75" s="327">
        <f t="shared" si="110"/>
        <v>0</v>
      </c>
      <c r="S75" s="162">
        <f>IF(C12=2,S72*C6/100,IF($G$6=Lister!$D$4,(S72*$C$6)/100,IF($G$6=Lister!$D$5,(S74*$C$6)/100,IF($G$6=Lister!$D$6,(S74-SUMIFS(C52:C64,$O$52:$O$64,Lister!$D$29,$A$52:$A$64,Lister!$M$10)-SUMIFS(C52:C64,$O$52:$O$64,Lister!$D$30,$A$52:$A$64,Lister!$M$10)*$C$6)/100,IF($G$6=Lister!$D$7,(S73*$C$6)/100,0)))))</f>
        <v>0</v>
      </c>
      <c r="T75" s="340">
        <f>IF(D12=2,T72*D6/100,IF($G$6=Lister!$D$4,(T72*$C$6)/100,IF($G$6=Lister!$D$5,(T74*$C$6)/100,IF($G$6=Lister!$D$6,(T74-SUMIFS(D52:D64,$O$52:$O$64,Lister!$D$29,$A$52:$A$64,Lister!$M$10)-SUMIFS(D52:D64,$O$52:$O$64,Lister!$D$30,$A$52:$A$64,Lister!$M$10)*$C$6)/100,IF($G$6=Lister!$D$7,(T73*$C$6)/100,0)))))</f>
        <v>0</v>
      </c>
      <c r="U75" s="340">
        <f>IF(E12=2,U72*E6/100,IF($G$6=Lister!$D$4,(U72*$C$6)/100,IF($G$6=Lister!$D$5,(U74*$C$6)/100,IF($G$6=Lister!$D$6,(U74-SUMIFS(E52:E64,$O$52:$O$64,Lister!$D$29,$A$52:$A$64,Lister!$M$10)-SUMIFS(E52:E64,$O$52:$O$64,Lister!$D$30,$A$52:$A$64,Lister!$M$10)*$C$6)/100,IF($G$6=Lister!$D$7,(U73*$C$6)/100,0)))))</f>
        <v>0</v>
      </c>
      <c r="V75" s="340">
        <f>IF(F12=2,V72*F6/100,IF($G$6=Lister!$D$4,(V72*$C$6)/100,IF($G$6=Lister!$D$5,(V74*$C$6)/100,IF($G$6=Lister!$D$6,(V74-SUMIFS(F52:F64,$O$52:$O$64,Lister!$D$29,$A$52:$A$64,Lister!$M$10)-SUMIFS(F52:F64,$O$52:$O$64,Lister!$D$30,$A$52:$A$64,Lister!$M$10)*$C$6)/100,IF($G$6=Lister!$D$7,(V73*$C$6)/100,0)))))</f>
        <v>0</v>
      </c>
      <c r="W75" s="340">
        <f>IF(G12=2,W72*G6/100,IF($G$6=Lister!$D$4,(W72*$C$6)/100,IF($G$6=Lister!$D$5,(W74*$C$6)/100,IF($G$6=Lister!$D$6,(W74-SUMIFS(G52:G64,$O$52:$O$64,Lister!$D$29,$A$52:$A$64,Lister!$M$10)-SUMIFS(G52:G64,$O$52:$O$64,Lister!$D$30,$A$52:$A$64,Lister!$M$10)*$C$6)/100,IF($G$6=Lister!$D$7,(W73*$C$6)/100,0)))))</f>
        <v>0</v>
      </c>
      <c r="X75" s="341">
        <f>IF(H12=2,X72*H6/100,IF($G$6=Lister!$D$4,(X72*$C$6)/100,IF($G$6=Lister!$D$5,(X74*$C$6)/100,IF($G$6=Lister!$D$6,(X74-SUMIFS(H52:H64,$O$52:$O$64,Lister!$D$29,$A$52:$A$64,Lister!$M$10)-SUMIFS(H52:H64,$O$52:$O$64,Lister!$D$30,$A$52:$A$64,Lister!$M$10)*$C$6)/100,IF($G$6=Lister!$D$7,(X73*$C$6)/100,0)))))</f>
        <v>0</v>
      </c>
      <c r="Y75" s="216">
        <f>IF(I12=2,Y72*I6/100,IF($G$6=Lister!$D$4,(Y72*$C$6)/100,IF($G$6=Lister!$D$5,(Y74*$C$6)/100,IF($G$6=Lister!$D$6,(Y74-SUMIFS(I52:I64,$O$52:$O$64,Lister!$D$29,$A$52:$A$64,Lister!$M$10)-SUMIFS(I52:I64,$O$52:$O$64,Lister!$D$30,$A$52:$A$64,Lister!$M$10)*$C$6)/100,IF($G$6=Lister!$D$7,(Y73*$C$6)/100,0)))))</f>
        <v>0</v>
      </c>
      <c r="Z75" s="215">
        <f>IF(J12=2,Z72*J6/100,IF($G$6=Lister!$D$4,(Z72*$C$6)/100,IF($G$6=Lister!$D$5,(Z74*$C$6)/100,IF($G$6=Lister!$D$6,(Z74-SUMIFS(J52:J64,$O$52:$O$64,Lister!$D$29,$A$52:$A$64,Lister!$M$10)-SUMIFS(J52:J64,$O$52:$O$64,Lister!$D$30,$A$52:$A$64,Lister!$M$10)*$C$6)/100,IF($G$6=Lister!$D$7,(Z73*$C$6)/100,0)))))</f>
        <v>0</v>
      </c>
      <c r="AA75" s="215">
        <f>IF(K12=2,AA72*K6/100,IF($G$6=Lister!$D$4,(AA72*$C$6)/100,IF($G$6=Lister!$D$5,(AA74*$C$6)/100,IF($G$6=Lister!$D$6,(AA74-SUMIFS(K52:K64,$O$52:$O$64,Lister!$D$29,$A$52:$A$64,Lister!$M$10)-SUMIFS(K52:K64,$O$52:$O$64,Lister!$D$30,$A$52:$A$64,Lister!$M$10)*$C$6)/100,IF($G$6=Lister!$D$7,(AA73*$C$6)/100,0)))))</f>
        <v>0</v>
      </c>
      <c r="AB75" s="215">
        <f>IF(L12=2,AB72*L6/100,IF($G$6=Lister!$D$4,(AB72*$C$6)/100,IF($G$6=Lister!$D$5,(AB74*$C$6)/100,IF($G$6=Lister!$D$6,(AB74-SUMIFS(L52:L64,$O$52:$O$64,Lister!$D$29,$A$52:$A$64,Lister!$M$10)-SUMIFS(L52:L64,$O$52:$O$64,Lister!$D$30,$A$52:$A$64,Lister!$M$10)*$C$6)/100,IF($G$6=Lister!$D$7,(AB73*$C$6)/100,0)))))</f>
        <v>0</v>
      </c>
      <c r="AC75" s="147">
        <f t="shared" si="111"/>
        <v>0</v>
      </c>
      <c r="AF75" s="70"/>
      <c r="AG75" s="70"/>
      <c r="AH75" s="70"/>
      <c r="AI75" s="70"/>
      <c r="AJ75" s="70"/>
      <c r="AK75" s="70"/>
      <c r="AL75" s="70"/>
      <c r="AM75" s="70"/>
      <c r="AN75" s="70"/>
      <c r="AO75" s="70"/>
      <c r="AP75" s="70"/>
      <c r="AQ75" s="70"/>
      <c r="AR75" s="70"/>
      <c r="AS75" s="70"/>
    </row>
    <row r="76" spans="1:62" s="9" customFormat="1" ht="14.25" customHeight="1" x14ac:dyDescent="0.2">
      <c r="N76" s="71"/>
      <c r="O76" s="87"/>
      <c r="P76" s="87"/>
      <c r="Q76" s="160" t="s">
        <v>103</v>
      </c>
      <c r="R76" s="327">
        <f t="shared" si="110"/>
        <v>0</v>
      </c>
      <c r="S76" s="162">
        <f>+IF($C$8=Lister!$O$5,(SUMIF($O$20:$O$29,Lister!D29,C20:C29)+SUMIF($O$20:$O$29,Lister!D30,C20:C29))*Takstblad!C$81,0)</f>
        <v>0</v>
      </c>
      <c r="T76" s="162">
        <f>+IF($C$8=Lister!$O$5,(SUMIF($O$20:$O$29,Lister!E27,D20:D29)+SUMIF($O$20:$O$29,Lister!E28,D20:D29))*Takstblad!D$81,0)</f>
        <v>0</v>
      </c>
      <c r="U76" s="162">
        <f>+IF($C$8=Lister!$O$5,(SUMIF($O$20:$O$29,Lister!F27,E20:E29)+SUMIF($O$20:$O$29,Lister!F28,E20:E29))*Takstblad!E$81,0)</f>
        <v>0</v>
      </c>
      <c r="V76" s="162">
        <f>+IF($C$8=Lister!$O$5,(SUMIF($O$20:$O$29,Lister!G27,F20:F29)+SUMIF($O$20:$O$29,Lister!G28,F20:F29))*Takstblad!F$81,0)</f>
        <v>0</v>
      </c>
      <c r="W76" s="162">
        <f>+IF($C$8=Lister!$O$5,(SUMIF($O$20:$O$29,Lister!H27,G20:G29)+SUMIF($O$20:$O$29,Lister!H28,G20:G29))*Takstblad!G$81,0)</f>
        <v>0</v>
      </c>
      <c r="X76" s="315">
        <f>+IF($C$8=Lister!$O$5,(SUMIF($O$20:$O$29,Lister!I27,H20:H29)+SUMIF($O$20:$O$29,Lister!I28,H20:H29))*Takstblad!H$81,0)</f>
        <v>0</v>
      </c>
      <c r="Y76" s="119">
        <f>+IF($C$8=Lister!$O$5,(SUMIF($O$20:$O$29,Lister!J27,I20:I29)+SUMIF($O$20:$O$29,Lister!J28,I20:I29))*Takstblad!I$81,0)</f>
        <v>0</v>
      </c>
      <c r="Z76" s="21">
        <f>+IF($C$8=Lister!$O$5,(SUMIF($O$20:$O$29,Lister!K27,J20:J29)+SUMIF($O$20:$O$29,Lister!K28,J20:J29))*Takstblad!J$81,0)</f>
        <v>0</v>
      </c>
      <c r="AA76" s="21">
        <f>+IF($C$8=Lister!$O$5,(SUMIF($O$20:$O$29,Lister!L27,K20:K29)+SUMIF($O$20:$O$29,Lister!L28,K20:K29))*Takstblad!K$81,0)</f>
        <v>0</v>
      </c>
      <c r="AB76" s="21">
        <f>+IF($C$8=Lister!$O$5,(SUMIF($O$20:$O$29,Lister!M27,L20:L29)+SUMIF($O$20:$O$29,Lister!M28,L20:L29))*Takstblad!L$81,0)</f>
        <v>0</v>
      </c>
      <c r="AC76" s="147">
        <f t="shared" si="111"/>
        <v>0</v>
      </c>
      <c r="AF76" s="71"/>
      <c r="AG76" s="71"/>
      <c r="AH76" s="71"/>
      <c r="AI76" s="71"/>
      <c r="AJ76" s="71"/>
      <c r="AK76" s="71"/>
      <c r="AL76" s="71"/>
      <c r="AM76" s="71"/>
      <c r="AN76" s="71"/>
      <c r="AO76" s="71"/>
      <c r="AP76" s="71"/>
      <c r="AQ76" s="71"/>
      <c r="AR76" s="71"/>
      <c r="AS76" s="71"/>
    </row>
    <row r="77" spans="1:62" s="9" customFormat="1" ht="14.25" customHeight="1" x14ac:dyDescent="0.2">
      <c r="N77" s="70"/>
      <c r="O77" s="85"/>
      <c r="P77" s="85"/>
      <c r="Q77" s="160" t="s">
        <v>108</v>
      </c>
      <c r="R77" s="327">
        <f t="shared" si="110"/>
        <v>0</v>
      </c>
      <c r="S77"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SUMIFS(C20:C29,$O$20:$O$29,Lister!$D$29,$A$20:$A$29,Lister!$A$21)+SUMIFS(C20:C29,$O$20:$O$29,Lister!$D$29,$A$20:$A$29,Lister!$A$29)+SUMIFS(C20:C29,$O$20:$O$29,Lister!$D$29,$A$20:$A$29,Lister!$A$30)+SUMIFS(C20:C29,$O$20:$O$29,Lister!$D$29,$A$20:$A$29,Lister!$A$22)+SUMIFS(C20:C29,$O$20:$O$29,Lister!$D$29,$A$20:$A$29,Lister!$A$23)+SUMIFS(C20:C29,$O$20:$O$29,Lister!$D$29,$A$20:$A$29,Lister!$A$20))/12)*Takstblad!C$82,0)</f>
        <v>0</v>
      </c>
      <c r="T77"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SUMIFS(D20:D29,$O$20:$O$29,Lister!$D$29,$A$20:$A$29,Lister!$A$21)+SUMIFS(D20:D29,$O$20:$O$29,Lister!$D$29,$A$20:$A$29,Lister!$A$29)+SUMIFS(D20:D29,$O$20:$O$29,Lister!$D$29,$A$20:$A$29,Lister!$A$30)+SUMIFS(D20:D29,$O$20:$O$29,Lister!$D$29,$A$20:$A$29,Lister!$A$22)+SUMIFS(D20:D29,$O$20:$O$29,Lister!$D$29,$A$20:$A$29,Lister!$A$23)+SUMIFS(D20:D29,$O$20:$O$29,Lister!$D$29,$A$20:$A$29,Lister!$A$20))/12)*Takstblad!D$82,0)</f>
        <v>0</v>
      </c>
      <c r="U77"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SUMIFS(E20:E29,$O$20:$O$29,Lister!$D$29,$A$20:$A$29,Lister!$A$21)+SUMIFS(E20:E29,$O$20:$O$29,Lister!$D$29,$A$20:$A$29,Lister!$A$29)+SUMIFS(E20:E29,$O$20:$O$29,Lister!$D$29,$A$20:$A$29,Lister!$A$30)+SUMIFS(E20:E29,$O$20:$O$29,Lister!$D$29,$A$20:$A$29,Lister!$A$22)+SUMIFS(E20:E29,$O$20:$O$29,Lister!$D$29,$A$20:$A$29,Lister!$A$23)+SUMIFS(E20:E29,$O$20:$O$29,Lister!$D$29,$A$20:$A$29,Lister!$A$20))/12)*Takstblad!E$82,0)</f>
        <v>0</v>
      </c>
      <c r="V77"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SUMIFS(F20:F29,$O$20:$O$29,Lister!$D$29,$A$20:$A$29,Lister!$A$21)+SUMIFS(F20:F29,$O$20:$O$29,Lister!$D$29,$A$20:$A$29,Lister!$A$29)+SUMIFS(F20:F29,$O$20:$O$29,Lister!$D$29,$A$20:$A$29,Lister!$A$30)+SUMIFS(F20:F29,$O$20:$O$29,Lister!$D$29,$A$20:$A$29,Lister!$A$22)+SUMIFS(F20:F29,$O$20:$O$29,Lister!$D$29,$A$20:$A$29,Lister!$A$23)+SUMIFS(F20:F29,$O$20:$O$29,Lister!$D$29,$A$20:$A$29,Lister!$A$20))/12)*Takstblad!F$82,0)</f>
        <v>0</v>
      </c>
      <c r="W77"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SUMIFS(G20:G29,$O$20:$O$29,Lister!$D$29,$A$20:$A$29,Lister!$A$21)+SUMIFS(G20:G29,$O$20:$O$29,Lister!$D$29,$A$20:$A$29,Lister!$A$29)+SUMIFS(G20:G29,$O$20:$O$29,Lister!$D$29,$A$20:$A$29,Lister!$A$30)+SUMIFS(G20:G29,$O$20:$O$29,Lister!$D$29,$A$20:$A$29,Lister!$A$22)+SUMIFS(G20:G29,$O$20:$O$29,Lister!$D$29,$A$20:$A$29,Lister!$A$23)+SUMIFS(G20:G29,$O$20:$O$29,Lister!$D$29,$A$20:$A$29,Lister!$A$20))/12)*Takstblad!G$82,0)</f>
        <v>0</v>
      </c>
      <c r="X77"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SUMIFS(H20:H29,$O$20:$O$29,Lister!$D$29,$A$20:$A$29,Lister!$A$21)+SUMIFS(H20:H29,$O$20:$O$29,Lister!$D$29,$A$20:$A$29,Lister!$A$29)+SUMIFS(H20:H29,$O$20:$O$29,Lister!$D$29,$A$20:$A$29,Lister!$A$30)+SUMIFS(H20:H29,$O$20:$O$29,Lister!$D$29,$A$20:$A$29,Lister!$A$22)+SUMIFS(H20:H29,$O$20:$O$29,Lister!$D$29,$A$20:$A$29,Lister!$A$23)+SUMIFS(H20:H29,$O$20:$O$29,Lister!$D$29,$A$20:$A$29,Lister!$A$20))/12)*Takstblad!H$82,0)</f>
        <v>0</v>
      </c>
      <c r="Y77"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SUMIFS(I20:I29,$O$20:$O$29,Lister!$D$29,$A$20:$A$29,Lister!$A$21)+SUMIFS(I20:I29,$O$20:$O$29,Lister!$D$29,$A$20:$A$29,Lister!$A$29)+SUMIFS(I20:I29,$O$20:$O$29,Lister!$D$29,$A$20:$A$29,Lister!$A$30)+SUMIFS(I20:I29,$O$20:$O$29,Lister!$D$29,$A$20:$A$29,Lister!$A$22)+SUMIFS(I20:I29,$O$20:$O$29,Lister!$D$29,$A$20:$A$29,Lister!$A$23)+SUMIFS(I20:I29,$O$20:$O$29,Lister!$D$29,$A$20:$A$29,Lister!$A$20))/12)*Takstblad!I$82,0)</f>
        <v>0</v>
      </c>
      <c r="Z77"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SUMIFS(J20:J29,$O$20:$O$29,Lister!$D$29,$A$20:$A$29,Lister!$A$21)+SUMIFS(J20:J29,$O$20:$O$29,Lister!$D$29,$A$20:$A$29,Lister!$A$29)+SUMIFS(J20:J29,$O$20:$O$29,Lister!$D$29,$A$20:$A$29,Lister!$A$30)+SUMIFS(J20:J29,$O$20:$O$29,Lister!$D$29,$A$20:$A$29,Lister!$A$22)+SUMIFS(J20:J29,$O$20:$O$29,Lister!$D$29,$A$20:$A$29,Lister!$A$23)+SUMIFS(J20:J29,$O$20:$O$29,Lister!$D$29,$A$20:$A$29,Lister!$A$20))/12)*Takstblad!J$82,0)</f>
        <v>0</v>
      </c>
      <c r="AA77"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SUMIFS(K20:K29,$O$20:$O$29,Lister!$D$29,$A$20:$A$29,Lister!$A$21)+SUMIFS(K20:K29,$O$20:$O$29,Lister!$D$29,$A$20:$A$29,Lister!$A$29)+SUMIFS(K20:K29,$O$20:$O$29,Lister!$D$29,$A$20:$A$29,Lister!$A$30)+SUMIFS(K20:K29,$O$20:$O$29,Lister!$D$29,$A$20:$A$29,Lister!$A$22)+SUMIFS(K20:K29,$O$20:$O$29,Lister!$D$29,$A$20:$A$29,Lister!$A$23)+SUMIFS(K20:K29,$O$20:$O$29,Lister!$D$29,$A$20:$A$29,Lister!$A$20))/12)*Takstblad!K$82,0)</f>
        <v>0</v>
      </c>
      <c r="AB77"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SUMIFS(L20:L29,$O$20:$O$29,Lister!$D$29,$A$20:$A$29,Lister!$A$21)+SUMIFS(L20:L29,$O$20:$O$29,Lister!$D$29,$A$20:$A$29,Lister!$A$29)+SUMIFS(L20:L29,$O$20:$O$29,Lister!$D$29,$A$20:$A$29,Lister!$A$30)+SUMIFS(L20:L29,$O$20:$O$29,Lister!$D$29,$A$20:$A$29,Lister!$A$22)+SUMIFS(L20:L29,$O$20:$O$29,Lister!$D$29,$A$20:$A$29,Lister!$A$23)+SUMIFS(L20:L29,$O$20:$O$29,Lister!$D$29,$A$20:$A$29,Lister!$A$20))/12)*Takstblad!L$82,0)</f>
        <v>0</v>
      </c>
      <c r="AC77" s="147">
        <f t="shared" si="111"/>
        <v>0</v>
      </c>
      <c r="AF77" s="70"/>
      <c r="AG77" s="70"/>
      <c r="AH77" s="70"/>
      <c r="AI77" s="70"/>
      <c r="AJ77" s="70"/>
      <c r="AK77" s="70"/>
      <c r="AL77" s="70"/>
      <c r="AM77" s="70"/>
      <c r="AN77" s="70"/>
      <c r="AO77" s="70"/>
      <c r="AP77" s="70"/>
      <c r="AQ77" s="70"/>
      <c r="AR77" s="71"/>
      <c r="AS77" s="71"/>
    </row>
    <row r="78" spans="1:62" ht="14.25" customHeight="1" x14ac:dyDescent="0.2">
      <c r="N78" s="71"/>
      <c r="O78" s="87"/>
      <c r="P78" s="87"/>
      <c r="Q78" s="159" t="s">
        <v>545</v>
      </c>
      <c r="R78" s="327">
        <f t="shared" si="110"/>
        <v>0</v>
      </c>
      <c r="S78" s="162" t="str">
        <f>IF($C$12=2,(SUM(S74:S77)*$C$13)/100,"0")</f>
        <v>0</v>
      </c>
      <c r="T78" s="234" t="str">
        <f t="shared" ref="T78:Z78" si="121">IF($C$12=2,(SUM(T74:T77)*$C$13)/100,"0")</f>
        <v>0</v>
      </c>
      <c r="U78" s="234" t="str">
        <f t="shared" si="121"/>
        <v>0</v>
      </c>
      <c r="V78" s="234" t="str">
        <f t="shared" si="121"/>
        <v>0</v>
      </c>
      <c r="W78" s="234" t="str">
        <f t="shared" si="121"/>
        <v>0</v>
      </c>
      <c r="X78" s="321" t="str">
        <f t="shared" si="121"/>
        <v>0</v>
      </c>
      <c r="Y78" s="235" t="str">
        <f t="shared" si="121"/>
        <v>0</v>
      </c>
      <c r="Z78" s="234" t="str">
        <f t="shared" si="121"/>
        <v>0</v>
      </c>
      <c r="AA78" s="234" t="str">
        <f t="shared" ref="AA78:AB78" si="122">IF($C$12=2,(SUM(AA74:AA77)*$C$13)/100,"0")</f>
        <v>0</v>
      </c>
      <c r="AB78" s="234" t="str">
        <f t="shared" si="122"/>
        <v>0</v>
      </c>
      <c r="AC78" s="147">
        <f t="shared" si="111"/>
        <v>0</v>
      </c>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row>
    <row r="79" spans="1:62" ht="14.25" customHeight="1" x14ac:dyDescent="0.2">
      <c r="N79" s="80"/>
      <c r="O79" s="91"/>
      <c r="P79" s="91"/>
      <c r="Q79" s="158" t="s">
        <v>101</v>
      </c>
      <c r="R79" s="327">
        <f t="shared" si="110"/>
        <v>0</v>
      </c>
      <c r="S79" s="328">
        <f>+SUM(S74:S78)</f>
        <v>0</v>
      </c>
      <c r="T79" s="328">
        <f t="shared" ref="T79:Z79" si="123">+SUM(T74:T78)</f>
        <v>0</v>
      </c>
      <c r="U79" s="328">
        <f t="shared" si="123"/>
        <v>0</v>
      </c>
      <c r="V79" s="328">
        <f t="shared" si="123"/>
        <v>0</v>
      </c>
      <c r="W79" s="328">
        <f t="shared" si="123"/>
        <v>0</v>
      </c>
      <c r="X79" s="329">
        <f t="shared" si="123"/>
        <v>0</v>
      </c>
      <c r="Y79" s="311">
        <f t="shared" si="123"/>
        <v>0</v>
      </c>
      <c r="Z79" s="146">
        <f t="shared" si="123"/>
        <v>0</v>
      </c>
      <c r="AA79" s="146">
        <f t="shared" ref="AA79:AB79" si="124">+SUM(AA74:AA78)</f>
        <v>0</v>
      </c>
      <c r="AB79" s="146">
        <f t="shared" si="124"/>
        <v>0</v>
      </c>
      <c r="AC79" s="147">
        <f t="shared" si="111"/>
        <v>0</v>
      </c>
      <c r="AF79" s="70"/>
      <c r="AG79" s="70"/>
      <c r="AH79" s="70"/>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row>
    <row r="80" spans="1:62" ht="14.25" customHeight="1" x14ac:dyDescent="0.2">
      <c r="N80" s="81"/>
      <c r="O80" s="92"/>
      <c r="P80" s="92"/>
      <c r="Q80" s="141"/>
      <c r="R80" s="135"/>
      <c r="S80" s="16"/>
      <c r="T80" s="125"/>
      <c r="U80" s="125"/>
      <c r="V80" s="125"/>
      <c r="W80" s="125"/>
      <c r="X80" s="322"/>
      <c r="Y80" s="125"/>
      <c r="Z80" s="125"/>
      <c r="AA80" s="125"/>
      <c r="AB80" s="125"/>
      <c r="AC80" s="135"/>
      <c r="AF80" s="71"/>
      <c r="AG80" s="71"/>
      <c r="AH80" s="71"/>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row>
    <row r="81" spans="1:62" s="9" customFormat="1" ht="14.25" customHeight="1" x14ac:dyDescent="0.25">
      <c r="N81" s="81"/>
      <c r="O81" s="92"/>
      <c r="P81" s="92"/>
      <c r="Q81" s="139" t="s">
        <v>606</v>
      </c>
      <c r="R81" s="140"/>
      <c r="S81" s="241"/>
      <c r="T81" s="145"/>
      <c r="U81" s="145"/>
      <c r="V81" s="145"/>
      <c r="W81" s="145"/>
      <c r="X81" s="320"/>
      <c r="Y81" s="145"/>
      <c r="Z81" s="145"/>
      <c r="AA81" s="145"/>
      <c r="AB81" s="145"/>
      <c r="AC81" s="140"/>
      <c r="AF81" s="71"/>
      <c r="AG81" s="71"/>
      <c r="AH81" s="71"/>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row>
    <row r="82" spans="1:62" s="9" customFormat="1" ht="14.25" customHeight="1" x14ac:dyDescent="0.25">
      <c r="N82" s="70"/>
      <c r="O82" s="85"/>
      <c r="P82" s="85"/>
      <c r="Q82" s="143"/>
      <c r="R82" s="142"/>
      <c r="S82" s="16"/>
      <c r="T82" s="76"/>
      <c r="U82" s="76"/>
      <c r="V82" s="76"/>
      <c r="W82" s="76"/>
      <c r="X82" s="142"/>
      <c r="Y82" s="76"/>
      <c r="Z82" s="76"/>
      <c r="AA82" s="76"/>
      <c r="AB82" s="76"/>
      <c r="AC82" s="142"/>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row>
    <row r="83" spans="1:62" s="9" customFormat="1" ht="14.25" customHeight="1" x14ac:dyDescent="0.2">
      <c r="A83" s="23"/>
      <c r="B83" s="16"/>
      <c r="C83" s="16"/>
      <c r="D83" s="71"/>
      <c r="E83" s="71"/>
      <c r="F83" s="71"/>
      <c r="G83" s="71"/>
      <c r="H83" s="71"/>
      <c r="I83" s="71"/>
      <c r="J83" s="71"/>
      <c r="K83" s="71"/>
      <c r="L83" s="71"/>
      <c r="M83" s="71"/>
      <c r="N83" s="71"/>
      <c r="O83" s="87"/>
      <c r="P83" s="87"/>
      <c r="Q83" s="161" t="s">
        <v>22</v>
      </c>
      <c r="R83" s="133" t="s">
        <v>34</v>
      </c>
      <c r="S83" s="45">
        <f>+S69</f>
        <v>2025</v>
      </c>
      <c r="T83" s="8">
        <f t="shared" ref="T83:Z83" si="125">+T69</f>
        <v>2026</v>
      </c>
      <c r="U83" s="8">
        <f t="shared" si="125"/>
        <v>2027</v>
      </c>
      <c r="V83" s="8">
        <f t="shared" si="125"/>
        <v>2028</v>
      </c>
      <c r="W83" s="8">
        <f t="shared" si="125"/>
        <v>2029</v>
      </c>
      <c r="X83" s="133">
        <f t="shared" si="125"/>
        <v>2030</v>
      </c>
      <c r="Y83" s="8">
        <f t="shared" si="125"/>
        <v>2031</v>
      </c>
      <c r="Z83" s="8">
        <f t="shared" si="125"/>
        <v>2032</v>
      </c>
      <c r="AA83" s="8">
        <f t="shared" ref="AA83:AB83" si="126">+AA69</f>
        <v>2033</v>
      </c>
      <c r="AB83" s="8">
        <f t="shared" si="126"/>
        <v>2034</v>
      </c>
      <c r="AC83" s="133" t="s">
        <v>34</v>
      </c>
      <c r="AF83" s="70"/>
      <c r="AG83" s="70"/>
      <c r="AH83" s="70"/>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62" s="9" customFormat="1" ht="14.25" customHeight="1" x14ac:dyDescent="0.2">
      <c r="N84" s="71"/>
      <c r="O84" s="87"/>
      <c r="P84" s="87"/>
      <c r="Q84" s="156" t="s">
        <v>74</v>
      </c>
      <c r="R84" s="330">
        <f t="shared" ref="R84:R93" si="127">+AC84</f>
        <v>0</v>
      </c>
      <c r="S84" s="331">
        <f>+SUMIF($O$20:$O$29,Lister!$D$31,S20:S29)+SUMIF($O$20:$O$29,Lister!$D$32,S20:S29)</f>
        <v>0</v>
      </c>
      <c r="T84" s="334">
        <f>+SUMIF($O$20:$O$29,Lister!$D$31,T20:T29)+SUMIF($O$20:$O$29,Lister!$D$32,T20:T29)</f>
        <v>0</v>
      </c>
      <c r="U84" s="331">
        <f>+SUMIF($O$20:$O$29,Lister!$D$31,U20:U29)+SUMIF($O$20:$O$29,Lister!$D$32,U20:U29)</f>
        <v>0</v>
      </c>
      <c r="V84" s="334">
        <f>+SUMIF($O$20:$O$29,Lister!$D$31,V20:V29)+SUMIF($O$20:$O$29,Lister!$D$32,V20:V29)</f>
        <v>0</v>
      </c>
      <c r="W84" s="331">
        <f>+SUMIF($O$20:$O$29,Lister!$D$31,W20:W29)+SUMIF($O$20:$O$29,Lister!$D$32,W20:W29)</f>
        <v>0</v>
      </c>
      <c r="X84" s="335">
        <f>+SUMIF($O$20:$O$29,Lister!$D$31,X20:X29)+SUMIF($O$20:$O$29,Lister!$D$32,X20:X29)</f>
        <v>0</v>
      </c>
      <c r="Y84" s="309">
        <f>+SUMIF($O$20:$O$29,Lister!$D$31,Y20:Y29)+SUMIF($O$20:$O$29,Lister!$D$32,Y20:Y29)</f>
        <v>0</v>
      </c>
      <c r="Z84" s="28">
        <f>+SUMIF($O$20:$O$29,Lister!$D$31,Z20:Z29)+SUMIF($O$20:$O$29,Lister!$D$32,Z20:Z29)</f>
        <v>0</v>
      </c>
      <c r="AA84" s="28">
        <f>+SUMIF($O$20:$O$29,Lister!$D$31,AA20:AA29)+SUMIF($O$20:$O$29,Lister!$D$32,AA20:AA29)</f>
        <v>0</v>
      </c>
      <c r="AB84" s="28">
        <f>+SUMIF($O$20:$O$29,Lister!$D$31,AB20:AB29)+SUMIF($O$20:$O$29,Lister!$D$32,AB20:AB29)</f>
        <v>0</v>
      </c>
      <c r="AC84" s="149">
        <f>SUM(S84:AB84)</f>
        <v>0</v>
      </c>
      <c r="AF84" s="70"/>
      <c r="AG84" s="70"/>
      <c r="AH84" s="70"/>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row>
    <row r="85" spans="1:62" s="9" customFormat="1" ht="14.25" customHeight="1" x14ac:dyDescent="0.2">
      <c r="N85" s="71"/>
      <c r="O85" s="87"/>
      <c r="P85" s="87"/>
      <c r="Q85" s="157" t="s">
        <v>75</v>
      </c>
      <c r="R85" s="324">
        <f t="shared" si="127"/>
        <v>0</v>
      </c>
      <c r="S85" s="325">
        <f>+SUMIF($O$33:$O$45,Lister!$D$31,S33:S45)+SUMIF($O$33:$O$45,Lister!$D$32,S33:S45)</f>
        <v>0</v>
      </c>
      <c r="T85" s="336">
        <f>+SUMIF($O$33:$O$45,Lister!$D$31,T33:T45)+SUMIF($O$33:$O$45,Lister!$D$32,T33:T45)</f>
        <v>0</v>
      </c>
      <c r="U85" s="325">
        <f>+SUMIF($O$33:$O$45,Lister!$D$31,U33:U45)+SUMIF($O$33:$O$45,Lister!$D$32,U33:U45)</f>
        <v>0</v>
      </c>
      <c r="V85" s="336">
        <f>+SUMIF($O$33:$O$45,Lister!$D$31,V33:V45)+SUMIF($O$33:$O$45,Lister!$D$32,V33:V45)</f>
        <v>0</v>
      </c>
      <c r="W85" s="325">
        <f>+SUMIF($O$33:$O$45,Lister!$D$31,W33:W45)+SUMIF($O$33:$O$45,Lister!$D$32,W33:W45)</f>
        <v>0</v>
      </c>
      <c r="X85" s="337">
        <f>+SUMIF($O$33:$O$45,Lister!$D$31,X33:X45)+SUMIF($O$33:$O$45,Lister!$D$32,X33:X45)</f>
        <v>0</v>
      </c>
      <c r="Y85" s="310">
        <f>+SUMIF($O$33:$O$45,Lister!$D$31,Y33:Y45)+SUMIF($O$33:$O$45,Lister!$D$32,Y33:Y45)</f>
        <v>0</v>
      </c>
      <c r="Z85" s="122">
        <f>+SUMIF($O$33:$O$45,Lister!$D$31,Z33:Z45)+SUMIF($O$33:$O$45,Lister!$D$32,Z33:Z45)</f>
        <v>0</v>
      </c>
      <c r="AA85" s="122">
        <f>+SUMIF($O$33:$O$45,Lister!$D$31,AA33:AA45)+SUMIF($O$33:$O$45,Lister!$D$32,AA33:AA45)</f>
        <v>0</v>
      </c>
      <c r="AB85" s="122">
        <f>+SUMIF($O$33:$O$45,Lister!$D$31,AB33:AB45)+SUMIF($O$33:$O$45,Lister!$D$32,AB33:AB45)</f>
        <v>0</v>
      </c>
      <c r="AC85" s="150">
        <f t="shared" ref="AC85:AC93" si="128">SUM(S85:AB85)</f>
        <v>0</v>
      </c>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row>
    <row r="86" spans="1:62" ht="14.25" customHeight="1" x14ac:dyDescent="0.2">
      <c r="N86" s="71"/>
      <c r="O86" s="87"/>
      <c r="P86" s="87"/>
      <c r="Q86" s="158" t="s">
        <v>76</v>
      </c>
      <c r="R86" s="327">
        <f t="shared" si="127"/>
        <v>0</v>
      </c>
      <c r="S86" s="328">
        <f>+SUM(S84:S85)</f>
        <v>0</v>
      </c>
      <c r="T86" s="328">
        <f t="shared" ref="T86" si="129">+SUM(T84:T85)</f>
        <v>0</v>
      </c>
      <c r="U86" s="328">
        <f t="shared" ref="U86:Z86" si="130">+SUM(U84:U85)</f>
        <v>0</v>
      </c>
      <c r="V86" s="328">
        <f t="shared" si="130"/>
        <v>0</v>
      </c>
      <c r="W86" s="328">
        <f t="shared" si="130"/>
        <v>0</v>
      </c>
      <c r="X86" s="329">
        <f t="shared" si="130"/>
        <v>0</v>
      </c>
      <c r="Y86" s="151">
        <f t="shared" si="130"/>
        <v>0</v>
      </c>
      <c r="Z86" s="146">
        <f t="shared" si="130"/>
        <v>0</v>
      </c>
      <c r="AA86" s="146">
        <f t="shared" ref="AA86:AB86" si="131">+SUM(AA84:AA85)</f>
        <v>0</v>
      </c>
      <c r="AB86" s="146">
        <f t="shared" si="131"/>
        <v>0</v>
      </c>
      <c r="AC86" s="147">
        <f t="shared" si="128"/>
        <v>0</v>
      </c>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row>
    <row r="87" spans="1:62" s="14" customFormat="1" ht="14.25" customHeight="1" x14ac:dyDescent="0.2">
      <c r="N87" s="71"/>
      <c r="O87" s="87"/>
      <c r="P87" s="87"/>
      <c r="Q87" s="158" t="s">
        <v>77</v>
      </c>
      <c r="R87" s="327">
        <f t="shared" si="127"/>
        <v>0</v>
      </c>
      <c r="S87" s="328">
        <f>+SUMIF($O$52:$O$64,Lister!$D$31,C52:C64)+SUMIF($O$52:$O$64,Lister!$D$32,C52:C64)-SUMIFS(C52:C64,$O$52:$O$64,Lister!$D$31,$A$52:$A$64,Lister!$M$9)-SUMIFS(C52:C64,$O$52:$O$64,Lister!$D$32,$A$52:$A$64,Lister!$M$9)</f>
        <v>0</v>
      </c>
      <c r="T87" s="344">
        <f>+SUMIF($O$52:$O$64,Lister!$D$31,D52:D64)+SUMIF($O$52:$O$64,Lister!$D$32,D52:D64)-SUMIFS(D52:D64,$O$52:$O$64,Lister!$D$31,$A$52:$A$64,Lister!$M$9)-SUMIFS(D52:D64,$O$52:$O$64,Lister!$D$32,$A$52:$A$64,Lister!$M$9)</f>
        <v>0</v>
      </c>
      <c r="U87" s="344">
        <f>+SUMIF($O$52:$O$64,Lister!$D$31,E52:E64)+SUMIF($O$52:$O$64,Lister!$D$32,E52:E64)-SUMIFS(E52:E64,$O$52:$O$64,Lister!$D$31,$A$52:$A$64,Lister!$M$9)-SUMIFS(E52:E64,$O$52:$O$64,Lister!$D$32,$A$52:$A$64,Lister!$M$9)</f>
        <v>0</v>
      </c>
      <c r="V87" s="344">
        <f>+SUMIF($O$52:$O$64,Lister!$D$31,F52:F64)+SUMIF($O$52:$O$64,Lister!$D$32,F52:F64)-SUMIFS(F52:F64,$O$52:$O$64,Lister!$D$31,$A$52:$A$64,Lister!$M$9)-SUMIFS(F52:F64,$O$52:$O$64,Lister!$D$32,$A$52:$A$64,Lister!$M$9)</f>
        <v>0</v>
      </c>
      <c r="W87" s="344">
        <f>+SUMIF($O$52:$O$64,Lister!$D$31,G52:G64)+SUMIF($O$52:$O$64,Lister!$D$32,G52:G64)-SUMIFS(G52:G64,$O$52:$O$64,Lister!$D$31,$A$52:$A$64,Lister!$M$9)-SUMIFS(G52:G64,$O$52:$O$64,Lister!$D$32,$A$52:$A$64,Lister!$M$9)</f>
        <v>0</v>
      </c>
      <c r="X87" s="345">
        <f>+SUMIF($O$52:$O$64,Lister!$D$31,H52:H64)+SUMIF($O$52:$O$64,Lister!$D$32,H52:H64)-SUMIFS(H52:H64,$O$52:$O$64,Lister!$D$31,$A$52:$A$64,Lister!$M$9)-SUMIFS(H52:H64,$O$52:$O$64,Lister!$D$32,$A$52:$A$64,Lister!$M$9)</f>
        <v>0</v>
      </c>
      <c r="Y87" s="220">
        <f>+SUMIF($O$52:$O$64,Lister!$D$31,I52:I64)+SUMIF($O$52:$O$64,Lister!$D$32,I52:I64)-SUMIFS(I52:I64,$O$52:$O$64,Lister!$D$31,$A$52:$A$64,Lister!$M$9)-SUMIFS(I52:I64,$O$52:$O$64,Lister!$D$32,$A$52:$A$64,Lister!$M$9)</f>
        <v>0</v>
      </c>
      <c r="Z87" s="219">
        <f>+SUMIF($O$52:$O$64,Lister!$D$31,J52:J64)+SUMIF($O$52:$O$64,Lister!$D$32,J52:J64)-SUMIFS(J52:J64,$O$52:$O$64,Lister!$D$31,$A$52:$A$64,Lister!$M$9)-SUMIFS(J52:J64,$O$52:$O$64,Lister!$D$32,$A$52:$A$64,Lister!$M$9)</f>
        <v>0</v>
      </c>
      <c r="AA87" s="219">
        <f>+SUMIF($O$52:$O$64,Lister!$D$31,K52:K64)+SUMIF($O$52:$O$64,Lister!$D$32,K52:K64)-SUMIFS(K52:K64,$O$52:$O$64,Lister!$D$31,$A$52:$A$64,Lister!$M$9)-SUMIFS(K52:K64,$O$52:$O$64,Lister!$D$32,$A$52:$A$64,Lister!$M$9)</f>
        <v>0</v>
      </c>
      <c r="AB87" s="219">
        <f>+SUMIF($O$52:$O$64,Lister!$D$31,L52:L64)+SUMIF($O$52:$O$64,Lister!$D$32,L52:L64)-SUMIFS(L52:L64,$O$52:$O$64,Lister!$D$31,$A$52:$A$64,Lister!$M$9)-SUMIFS(L52:L64,$O$52:$O$64,Lister!$D$32,$A$52:$A$64,Lister!$M$9)</f>
        <v>0</v>
      </c>
      <c r="AC87" s="147">
        <f t="shared" si="128"/>
        <v>0</v>
      </c>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row>
    <row r="88" spans="1:62" s="9" customFormat="1" ht="14.25" customHeight="1" x14ac:dyDescent="0.2">
      <c r="N88" s="70"/>
      <c r="O88" s="85"/>
      <c r="P88" s="85"/>
      <c r="Q88" s="158" t="s">
        <v>78</v>
      </c>
      <c r="R88" s="327">
        <f t="shared" si="127"/>
        <v>0</v>
      </c>
      <c r="S88" s="328">
        <f>+S87+S86</f>
        <v>0</v>
      </c>
      <c r="T88" s="346">
        <f t="shared" ref="T88:Z88" si="132">+T87+T86</f>
        <v>0</v>
      </c>
      <c r="U88" s="346">
        <f t="shared" si="132"/>
        <v>0</v>
      </c>
      <c r="V88" s="346">
        <f t="shared" si="132"/>
        <v>0</v>
      </c>
      <c r="W88" s="346">
        <f t="shared" si="132"/>
        <v>0</v>
      </c>
      <c r="X88" s="347">
        <f t="shared" si="132"/>
        <v>0</v>
      </c>
      <c r="Y88" s="155">
        <f t="shared" si="132"/>
        <v>0</v>
      </c>
      <c r="Z88" s="154">
        <f t="shared" si="132"/>
        <v>0</v>
      </c>
      <c r="AA88" s="154">
        <f t="shared" ref="AA88:AB88" si="133">+AA87+AA86</f>
        <v>0</v>
      </c>
      <c r="AB88" s="154">
        <f t="shared" si="133"/>
        <v>0</v>
      </c>
      <c r="AC88" s="147">
        <f t="shared" si="128"/>
        <v>0</v>
      </c>
      <c r="AF88" s="71"/>
      <c r="AG88" s="71"/>
      <c r="AH88" s="71"/>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row>
    <row r="89" spans="1:62" s="9" customFormat="1" ht="14.25" customHeight="1" x14ac:dyDescent="0.2">
      <c r="N89" s="79"/>
      <c r="O89" s="90"/>
      <c r="P89" s="90"/>
      <c r="Q89" s="159" t="s">
        <v>0</v>
      </c>
      <c r="R89" s="327">
        <f t="shared" si="127"/>
        <v>0</v>
      </c>
      <c r="S89" s="162">
        <f>IF(C12=2,S86*C6/100,IF($G$6=Lister!$D$4,(S86*$C$6)/100,IF($G$6=Lister!$D$5,(S88*$C$6)/100,IF($G$6=Lister!$D$6,((S88-SUMIFS(C52:C64,$O$52:$O$64,Lister!$D$31,$A$52:$A$64,Lister!$M$10)-SUMIFS(C52:C64,$O$52:$O$64,Lister!$D$32,$A$52:$A$64,Lister!$M$10))*$C$6)/100,IF($G$6=Lister!$D$7,(S87*$C$6)/100,0)))))</f>
        <v>0</v>
      </c>
      <c r="T89" s="340">
        <f>IF(D12=2,T86*D6/100,IF($G$6=Lister!$D$4,(T86*$C$6)/100,IF($G$6=Lister!$D$5,(T88*$C$6)/100,IF($G$6=Lister!$D$6,((T88-SUMIFS(D52:D64,$O$52:$O$64,Lister!$D$31,$A$52:$A$64,Lister!$M$10)-SUMIFS(D52:D64,$O$52:$O$64,Lister!$D$32,$A$52:$A$64,Lister!$M$10))*$C$6)/100,IF($G$6=Lister!$D$7,(T87*$C$6)/100,0)))))</f>
        <v>0</v>
      </c>
      <c r="U89" s="340">
        <f>IF(E12=2,U86*E6/100,IF($G$6=Lister!$D$4,(U86*$C$6)/100,IF($G$6=Lister!$D$5,(U88*$C$6)/100,IF($G$6=Lister!$D$6,((U88-SUMIFS(E52:E64,$O$52:$O$64,Lister!$D$31,$A$52:$A$64,Lister!$M$10)-SUMIFS(E52:E64,$O$52:$O$64,Lister!$D$32,$A$52:$A$64,Lister!$M$10))*$C$6)/100,IF($G$6=Lister!$D$7,(U87*$C$6)/100,0)))))</f>
        <v>0</v>
      </c>
      <c r="V89" s="340">
        <f>IF(F12=2,V86*F6/100,IF($G$6=Lister!$D$4,(V86*$C$6)/100,IF($G$6=Lister!$D$5,(V88*$C$6)/100,IF($G$6=Lister!$D$6,((V88-SUMIFS(F52:F64,$O$52:$O$64,Lister!$D$31,$A$52:$A$64,Lister!$M$10)-SUMIFS(F52:F64,$O$52:$O$64,Lister!$D$32,$A$52:$A$64,Lister!$M$10))*$C$6)/100,IF($G$6=Lister!$D$7,(V87*$C$6)/100,0)))))</f>
        <v>0</v>
      </c>
      <c r="W89" s="340">
        <f>IF(G12=2,W86*G6/100,IF($G$6=Lister!$D$4,(W86*$C$6)/100,IF($G$6=Lister!$D$5,(W88*$C$6)/100,IF($G$6=Lister!$D$6,((W88-SUMIFS(G52:G64,$O$52:$O$64,Lister!$D$31,$A$52:$A$64,Lister!$M$10)-SUMIFS(G52:G64,$O$52:$O$64,Lister!$D$32,$A$52:$A$64,Lister!$M$10))*$C$6)/100,IF($G$6=Lister!$D$7,(W87*$C$6)/100,0)))))</f>
        <v>0</v>
      </c>
      <c r="X89" s="341">
        <f>IF(H12=2,X86*H6/100,IF($G$6=Lister!$D$4,(X86*$C$6)/100,IF($G$6=Lister!$D$5,(X88*$C$6)/100,IF($G$6=Lister!$D$6,((X88-SUMIFS(H52:H64,$O$52:$O$64,Lister!$D$31,$A$52:$A$64,Lister!$M$10)-SUMIFS(H52:H64,$O$52:$O$64,Lister!$D$32,$A$52:$A$64,Lister!$M$10))*$C$6)/100,IF($G$6=Lister!$D$7,(X87*$C$6)/100,0)))))</f>
        <v>0</v>
      </c>
      <c r="Y89" s="216">
        <f>IF(I12=2,Y86*I6/100,IF($G$6=Lister!$D$4,(Y86*$C$6)/100,IF($G$6=Lister!$D$5,(Y88*$C$6)/100,IF($G$6=Lister!$D$6,((Y88-SUMIFS(I52:I64,$O$52:$O$64,Lister!$D$31,$A$52:$A$64,Lister!$M$10)-SUMIFS(I52:I64,$O$52:$O$64,Lister!$D$32,$A$52:$A$64,Lister!$M$10))*$C$6)/100,IF($G$6=Lister!$D$7,(Y87*$C$6)/100,0)))))</f>
        <v>0</v>
      </c>
      <c r="Z89" s="215">
        <f>IF(J12=2,Z86*J6/100,IF($G$6=Lister!$D$4,(Z86*$C$6)/100,IF($G$6=Lister!$D$5,(Z88*$C$6)/100,IF($G$6=Lister!$D$6,((Z88-SUMIFS(J52:J64,$O$52:$O$64,Lister!$D$31,$A$52:$A$64,Lister!$M$10)-SUMIFS(J52:J64,$O$52:$O$64,Lister!$D$32,$A$52:$A$64,Lister!$M$10))*$C$6)/100,IF($G$6=Lister!$D$7,(Z87*$C$6)/100,0)))))</f>
        <v>0</v>
      </c>
      <c r="AA89" s="215">
        <f>IF(K12=2,AA86*K6/100,IF($G$6=Lister!$D$4,(AA86*$C$6)/100,IF($G$6=Lister!$D$5,(AA88*$C$6)/100,IF($G$6=Lister!$D$6,((AA88-SUMIFS(K52:K64,$O$52:$O$64,Lister!$D$31,$A$52:$A$64,Lister!$M$10)-SUMIFS(K52:K64,$O$52:$O$64,Lister!$D$32,$A$52:$A$64,Lister!$M$10))*$C$6)/100,IF($G$6=Lister!$D$7,(AA87*$C$6)/100,0)))))</f>
        <v>0</v>
      </c>
      <c r="AB89" s="215">
        <f>IF(L12=2,AB86*L6/100,IF($G$6=Lister!$D$4,(AB86*$C$6)/100,IF($G$6=Lister!$D$5,(AB88*$C$6)/100,IF($G$6=Lister!$D$6,((AB88-SUMIFS(L52:L64,$O$52:$O$64,Lister!$D$31,$A$52:$A$64,Lister!$M$10)-SUMIFS(L52:L64,$O$52:$O$64,Lister!$D$32,$A$52:$A$64,Lister!$M$10))*$C$6)/100,IF($G$6=Lister!$D$7,(AB87*$C$6)/100,0)))))</f>
        <v>0</v>
      </c>
      <c r="AC89" s="147">
        <f t="shared" si="128"/>
        <v>0</v>
      </c>
      <c r="AF89" s="71"/>
      <c r="AG89" s="71"/>
      <c r="AH89" s="71"/>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row>
    <row r="90" spans="1:62" s="9" customFormat="1" ht="14.25" customHeight="1" x14ac:dyDescent="0.2">
      <c r="N90" s="71"/>
      <c r="O90" s="87"/>
      <c r="P90" s="87"/>
      <c r="Q90" s="160" t="s">
        <v>103</v>
      </c>
      <c r="R90" s="327">
        <f t="shared" si="127"/>
        <v>0</v>
      </c>
      <c r="S90" s="162">
        <f>+IF($C$8=Lister!$O$5,(SUMIF($O$20:$O$29,Lister!D31,C20:C29)+SUMIF($O$20:$O$29,Lister!D32,C20:C29))*Takstblad!C$81,0)</f>
        <v>0</v>
      </c>
      <c r="T90" s="162">
        <f>+IF($C$8=Lister!$O$5,(SUMIF($O$20:$O$29,Lister!E29,D20:D29)+SUMIF($O$20:$O$29,Lister!E30,D20:D29))*Takstblad!D$81,0)</f>
        <v>0</v>
      </c>
      <c r="U90" s="162">
        <f>+IF($C$8=Lister!$O$5,(SUMIF($O$20:$O$29,Lister!F29,E20:E29)+SUMIF($O$20:$O$29,Lister!F30,E20:E29))*Takstblad!E$81,0)</f>
        <v>0</v>
      </c>
      <c r="V90" s="162">
        <f>+IF($C$8=Lister!$O$5,(SUMIF($O$20:$O$29,Lister!G29,F20:F29)+SUMIF($O$20:$O$29,Lister!G30,F20:F29))*Takstblad!F$81,0)</f>
        <v>0</v>
      </c>
      <c r="W90" s="162">
        <f>+IF($C$8=Lister!$O$5,(SUMIF($O$20:$O$29,Lister!H29,G20:G29)+SUMIF($O$20:$O$29,Lister!H30,G20:G29))*Takstblad!G$81,0)</f>
        <v>0</v>
      </c>
      <c r="X90" s="315">
        <f>+IF($C$8=Lister!$O$5,(SUMIF($O$20:$O$29,Lister!I29,H20:H29)+SUMIF($O$20:$O$29,Lister!I30,H20:H29))*Takstblad!H$81,0)</f>
        <v>0</v>
      </c>
      <c r="Y90" s="119">
        <f>+IF($C$8=Lister!$O$5,(SUMIF($O$20:$O$29,Lister!J29,I20:I29)+SUMIF($O$20:$O$29,Lister!J30,I20:I29))*Takstblad!I$81,0)</f>
        <v>0</v>
      </c>
      <c r="Z90" s="21">
        <f>+IF($C$8=Lister!$O$5,(SUMIF($O$20:$O$29,Lister!K29,J20:J29)+SUMIF($O$20:$O$29,Lister!K30,J20:J29))*Takstblad!J$81,0)</f>
        <v>0</v>
      </c>
      <c r="AA90" s="21">
        <f>+IF($C$8=Lister!$O$5,(SUMIF($O$20:$O$29,Lister!L29,K20:K29)+SUMIF($O$20:$O$29,Lister!L30,K20:K29))*Takstblad!K$81,0)</f>
        <v>0</v>
      </c>
      <c r="AB90" s="21">
        <f>+IF($C$8=Lister!$O$5,(SUMIF($O$20:$O$29,Lister!M29,L20:L29)+SUMIF($O$20:$O$29,Lister!M30,L20:L29))*Takstblad!L$81,0)</f>
        <v>0</v>
      </c>
      <c r="AC90" s="147">
        <f t="shared" si="128"/>
        <v>0</v>
      </c>
      <c r="AF90" s="70"/>
      <c r="AG90" s="70"/>
      <c r="AH90" s="70"/>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row>
    <row r="91" spans="1:62" s="9" customFormat="1" ht="14.25" customHeight="1" x14ac:dyDescent="0.2">
      <c r="N91" s="71"/>
      <c r="O91" s="87"/>
      <c r="P91" s="87"/>
      <c r="Q91" s="160" t="s">
        <v>108</v>
      </c>
      <c r="R91" s="327">
        <f t="shared" si="127"/>
        <v>0</v>
      </c>
      <c r="S91" s="162"/>
      <c r="T91" s="164"/>
      <c r="U91" s="164"/>
      <c r="V91" s="164"/>
      <c r="W91" s="164"/>
      <c r="X91" s="323"/>
      <c r="Y91" s="123"/>
      <c r="Z91" s="124"/>
      <c r="AA91" s="124"/>
      <c r="AB91" s="124"/>
      <c r="AC91" s="147">
        <f t="shared" si="128"/>
        <v>0</v>
      </c>
      <c r="AF91" s="79"/>
      <c r="AG91" s="79"/>
      <c r="AH91" s="79"/>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row>
    <row r="92" spans="1:62" s="9" customFormat="1" ht="14.25" customHeight="1" x14ac:dyDescent="0.2">
      <c r="N92" s="71"/>
      <c r="O92" s="87"/>
      <c r="P92" s="87"/>
      <c r="Q92" s="159" t="s">
        <v>545</v>
      </c>
      <c r="R92" s="327">
        <f t="shared" si="127"/>
        <v>0</v>
      </c>
      <c r="S92" s="162" t="str">
        <f>IF($C$12=2,(SUM(S88:S91)*$C$13)/100,"0")</f>
        <v>0</v>
      </c>
      <c r="T92" s="164" t="str">
        <f t="shared" ref="T92:Z92" si="134">IF($C$12=2,(SUM(T88:T91)*$C$13)/100,"0")</f>
        <v>0</v>
      </c>
      <c r="U92" s="164" t="str">
        <f t="shared" si="134"/>
        <v>0</v>
      </c>
      <c r="V92" s="164" t="str">
        <f t="shared" si="134"/>
        <v>0</v>
      </c>
      <c r="W92" s="164" t="str">
        <f t="shared" si="134"/>
        <v>0</v>
      </c>
      <c r="X92" s="323" t="str">
        <f t="shared" si="134"/>
        <v>0</v>
      </c>
      <c r="Y92" s="165" t="str">
        <f t="shared" si="134"/>
        <v>0</v>
      </c>
      <c r="Z92" s="164" t="str">
        <f t="shared" si="134"/>
        <v>0</v>
      </c>
      <c r="AA92" s="164" t="str">
        <f t="shared" ref="AA92:AB92" si="135">IF($C$12=2,(SUM(AA88:AA91)*$C$13)/100,"0")</f>
        <v>0</v>
      </c>
      <c r="AB92" s="164" t="str">
        <f t="shared" si="135"/>
        <v>0</v>
      </c>
      <c r="AC92" s="147">
        <f t="shared" si="128"/>
        <v>0</v>
      </c>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row>
    <row r="93" spans="1:62" s="9" customFormat="1" ht="14.25" customHeight="1" x14ac:dyDescent="0.2">
      <c r="N93" s="71"/>
      <c r="O93" s="87"/>
      <c r="P93" s="87"/>
      <c r="Q93" s="158" t="s">
        <v>101</v>
      </c>
      <c r="R93" s="327">
        <f t="shared" si="127"/>
        <v>0</v>
      </c>
      <c r="S93" s="328">
        <f>+SUM(S88:S92)</f>
        <v>0</v>
      </c>
      <c r="T93" s="328">
        <f t="shared" ref="T93:Z93" si="136">+SUM(T88:T92)</f>
        <v>0</v>
      </c>
      <c r="U93" s="328">
        <f t="shared" si="136"/>
        <v>0</v>
      </c>
      <c r="V93" s="328">
        <f t="shared" si="136"/>
        <v>0</v>
      </c>
      <c r="W93" s="328">
        <f t="shared" si="136"/>
        <v>0</v>
      </c>
      <c r="X93" s="329">
        <f t="shared" si="136"/>
        <v>0</v>
      </c>
      <c r="Y93" s="311">
        <f t="shared" si="136"/>
        <v>0</v>
      </c>
      <c r="Z93" s="146">
        <f t="shared" si="136"/>
        <v>0</v>
      </c>
      <c r="AA93" s="146">
        <f t="shared" ref="AA93:AB93" si="137">+SUM(AA88:AA92)</f>
        <v>0</v>
      </c>
      <c r="AB93" s="146">
        <f t="shared" si="137"/>
        <v>0</v>
      </c>
      <c r="AC93" s="147">
        <f t="shared" si="128"/>
        <v>0</v>
      </c>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row>
    <row r="94" spans="1:62" s="9" customFormat="1" ht="14.25" customHeight="1" x14ac:dyDescent="0.2">
      <c r="N94" s="71"/>
      <c r="O94" s="87"/>
      <c r="P94" s="87"/>
      <c r="Q94" s="238"/>
      <c r="R94" s="239"/>
      <c r="S94" s="23"/>
      <c r="X94" s="239"/>
      <c r="AC94" s="239"/>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row>
    <row r="95" spans="1:62" s="9" customFormat="1" ht="14.25" customHeight="1" x14ac:dyDescent="0.25">
      <c r="N95" s="71"/>
      <c r="O95" s="87"/>
      <c r="P95" s="87"/>
      <c r="Q95" s="139" t="s">
        <v>152</v>
      </c>
      <c r="R95" s="140"/>
      <c r="S95" s="241"/>
      <c r="T95" s="145"/>
      <c r="U95" s="145"/>
      <c r="V95" s="145"/>
      <c r="W95" s="145"/>
      <c r="X95" s="320"/>
      <c r="Y95" s="145"/>
      <c r="Z95" s="145"/>
      <c r="AA95" s="145"/>
      <c r="AB95" s="145"/>
      <c r="AC95" s="140"/>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row>
    <row r="96" spans="1:62" s="9" customFormat="1" ht="14.25" customHeight="1" x14ac:dyDescent="0.25">
      <c r="N96" s="71"/>
      <c r="O96" s="87"/>
      <c r="P96" s="87"/>
      <c r="Q96" s="143"/>
      <c r="R96" s="142"/>
      <c r="S96" s="16"/>
      <c r="T96" s="76"/>
      <c r="U96" s="76"/>
      <c r="V96" s="76"/>
      <c r="W96" s="76"/>
      <c r="X96" s="142"/>
      <c r="Y96" s="76"/>
      <c r="Z96" s="76"/>
      <c r="AA96" s="76"/>
      <c r="AB96" s="76"/>
      <c r="AC96" s="142"/>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row>
    <row r="97" spans="14:62" s="9" customFormat="1" ht="14.25" customHeight="1" x14ac:dyDescent="0.2">
      <c r="N97" s="71"/>
      <c r="O97" s="87"/>
      <c r="P97" s="87"/>
      <c r="Q97" s="161" t="s">
        <v>22</v>
      </c>
      <c r="R97" s="133" t="s">
        <v>34</v>
      </c>
      <c r="S97" s="45">
        <f>+S83</f>
        <v>2025</v>
      </c>
      <c r="T97" s="8">
        <f t="shared" ref="T97:Z97" si="138">+T83</f>
        <v>2026</v>
      </c>
      <c r="U97" s="8">
        <f t="shared" si="138"/>
        <v>2027</v>
      </c>
      <c r="V97" s="8">
        <f t="shared" si="138"/>
        <v>2028</v>
      </c>
      <c r="W97" s="8">
        <f t="shared" si="138"/>
        <v>2029</v>
      </c>
      <c r="X97" s="133">
        <f t="shared" si="138"/>
        <v>2030</v>
      </c>
      <c r="Y97" s="8">
        <f t="shared" si="138"/>
        <v>2031</v>
      </c>
      <c r="Z97" s="8">
        <f t="shared" si="138"/>
        <v>2032</v>
      </c>
      <c r="AA97" s="8">
        <f t="shared" ref="AA97:AB97" si="139">+AA83</f>
        <v>2033</v>
      </c>
      <c r="AB97" s="8">
        <f t="shared" si="139"/>
        <v>2034</v>
      </c>
      <c r="AC97" s="133" t="s">
        <v>34</v>
      </c>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row>
    <row r="98" spans="14:62" s="9" customFormat="1" ht="14.25" customHeight="1" x14ac:dyDescent="0.2">
      <c r="N98" s="71"/>
      <c r="O98" s="87"/>
      <c r="P98" s="87"/>
      <c r="Q98" s="156" t="s">
        <v>74</v>
      </c>
      <c r="R98" s="330">
        <f t="shared" ref="R98:R107" si="140">+AC98</f>
        <v>0</v>
      </c>
      <c r="S98" s="331">
        <f>+SUMIF($O$20:$O$29,Lister!$D$30,S$20:S$29)</f>
        <v>0</v>
      </c>
      <c r="T98" s="334">
        <f>+SUMIF($O$20:$O$29,Lister!$D$30,T$20:T$29)</f>
        <v>0</v>
      </c>
      <c r="U98" s="331">
        <f>+SUMIF($O$20:$O$29,Lister!$D$30,U$20:U$29)</f>
        <v>0</v>
      </c>
      <c r="V98" s="334">
        <f>+SUMIF($O$20:$O$29,Lister!$D$30,V$20:V$29)</f>
        <v>0</v>
      </c>
      <c r="W98" s="331">
        <f>+SUMIF($O$20:$O$29,Lister!$D$30,W$20:W$29)</f>
        <v>0</v>
      </c>
      <c r="X98" s="335">
        <f>+SUMIF($O$20:$O$29,Lister!$D$30,X$20:X$29)</f>
        <v>0</v>
      </c>
      <c r="Y98" s="309">
        <f>+SUMIF($O$20:$O$29,Lister!$D$30,Y$20:Y$29)</f>
        <v>0</v>
      </c>
      <c r="Z98" s="28">
        <f>+SUMIF($O$20:$O$29,Lister!$D$30,Z$20:Z$29)</f>
        <v>0</v>
      </c>
      <c r="AA98" s="28">
        <f>+SUMIF($O$20:$O$29,Lister!$D$30,AA$20:AA$29)</f>
        <v>0</v>
      </c>
      <c r="AB98" s="28">
        <f>+SUMIF($O$20:$O$29,Lister!$D$30,AB$20:AB$29)</f>
        <v>0</v>
      </c>
      <c r="AC98" s="149">
        <f>SUM(S98:AB98)</f>
        <v>0</v>
      </c>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row>
    <row r="99" spans="14:62" s="9" customFormat="1" ht="14.25" customHeight="1" x14ac:dyDescent="0.2">
      <c r="N99" s="71"/>
      <c r="O99" s="87"/>
      <c r="P99" s="87"/>
      <c r="Q99" s="157" t="s">
        <v>75</v>
      </c>
      <c r="R99" s="324">
        <f t="shared" si="140"/>
        <v>0</v>
      </c>
      <c r="S99" s="325">
        <f>+SUMIF($O$33:$O$45,Lister!$D$30,S$33:S$45)</f>
        <v>0</v>
      </c>
      <c r="T99" s="336">
        <f>+SUMIF($O$33:$O$45,Lister!$D$30,T$33:T$45)</f>
        <v>0</v>
      </c>
      <c r="U99" s="325">
        <f>+SUMIF($O$33:$O$45,Lister!$D$30,U$33:U$45)</f>
        <v>0</v>
      </c>
      <c r="V99" s="336">
        <f>+SUMIF($O$33:$O$45,Lister!$D$30,V$33:V$45)</f>
        <v>0</v>
      </c>
      <c r="W99" s="325">
        <f>+SUMIF($O$33:$O$45,Lister!$D$30,W$33:W$45)</f>
        <v>0</v>
      </c>
      <c r="X99" s="337">
        <f>+SUMIF($O$33:$O$45,Lister!$D$30,X$33:X$45)</f>
        <v>0</v>
      </c>
      <c r="Y99" s="310">
        <f>+SUMIF($O$33:$O$45,Lister!$D$30,Y$33:Y$45)</f>
        <v>0</v>
      </c>
      <c r="Z99" s="122">
        <f>+SUMIF($O$33:$O$45,Lister!$D$30,Z$33:Z$45)</f>
        <v>0</v>
      </c>
      <c r="AA99" s="122">
        <f>+SUMIF($O$33:$O$45,Lister!$D$30,AA$33:AA$45)</f>
        <v>0</v>
      </c>
      <c r="AB99" s="122">
        <f>+SUMIF($O$33:$O$45,Lister!$D$30,AB$33:AB$45)</f>
        <v>0</v>
      </c>
      <c r="AC99" s="150">
        <f t="shared" ref="AC99:AC107" si="141">SUM(S99:AB99)</f>
        <v>0</v>
      </c>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row>
    <row r="100" spans="14:62" s="9" customFormat="1" ht="14.25" customHeight="1" x14ac:dyDescent="0.2">
      <c r="N100" s="71"/>
      <c r="O100" s="87"/>
      <c r="P100" s="87"/>
      <c r="Q100" s="158" t="s">
        <v>76</v>
      </c>
      <c r="R100" s="327">
        <f t="shared" si="140"/>
        <v>0</v>
      </c>
      <c r="S100" s="328">
        <f>+SUM(S98:S99)</f>
        <v>0</v>
      </c>
      <c r="T100" s="328">
        <f t="shared" ref="T100:Z100" si="142">+SUM(T98:T99)</f>
        <v>0</v>
      </c>
      <c r="U100" s="328">
        <f t="shared" si="142"/>
        <v>0</v>
      </c>
      <c r="V100" s="328">
        <f t="shared" si="142"/>
        <v>0</v>
      </c>
      <c r="W100" s="328">
        <f t="shared" si="142"/>
        <v>0</v>
      </c>
      <c r="X100" s="329">
        <f t="shared" si="142"/>
        <v>0</v>
      </c>
      <c r="Y100" s="151">
        <f t="shared" si="142"/>
        <v>0</v>
      </c>
      <c r="Z100" s="146">
        <f t="shared" si="142"/>
        <v>0</v>
      </c>
      <c r="AA100" s="146">
        <f t="shared" ref="AA100:AB100" si="143">+SUM(AA98:AA99)</f>
        <v>0</v>
      </c>
      <c r="AB100" s="146">
        <f t="shared" si="143"/>
        <v>0</v>
      </c>
      <c r="AC100" s="147">
        <f t="shared" si="141"/>
        <v>0</v>
      </c>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row>
    <row r="101" spans="14:62" s="9" customFormat="1" ht="14.25" customHeight="1" x14ac:dyDescent="0.2">
      <c r="N101" s="71"/>
      <c r="O101" s="87"/>
      <c r="P101" s="87"/>
      <c r="Q101" s="158" t="s">
        <v>77</v>
      </c>
      <c r="R101" s="327">
        <f t="shared" si="140"/>
        <v>0</v>
      </c>
      <c r="S101" s="328">
        <f>+SUMIF($O$52:$O$64,Lister!$D$30,C$52:C$64)</f>
        <v>0</v>
      </c>
      <c r="T101" s="344">
        <f>+SUMIF($O$52:$O$64,Lister!$D$30,D$52:D$64)</f>
        <v>0</v>
      </c>
      <c r="U101" s="344">
        <f>+SUMIF($O$52:$O$64,Lister!$D$30,E$52:E$64)</f>
        <v>0</v>
      </c>
      <c r="V101" s="344">
        <f>+SUMIF($O$52:$O$64,Lister!$D$30,F$52:F$64)</f>
        <v>0</v>
      </c>
      <c r="W101" s="344">
        <f>+SUMIF($O$52:$O$64,Lister!$D$30,G$52:G$64)</f>
        <v>0</v>
      </c>
      <c r="X101" s="345">
        <f>+SUMIF($O$52:$O$64,Lister!$D$30,H$52:H$64)</f>
        <v>0</v>
      </c>
      <c r="Y101" s="220">
        <f>+SUMIF($O$52:$O$64,Lister!$D$30,I$52:I$64)</f>
        <v>0</v>
      </c>
      <c r="Z101" s="219">
        <f>+SUMIF($O$52:$O$64,Lister!$D$30,J$52:J$64)</f>
        <v>0</v>
      </c>
      <c r="AA101" s="219">
        <f>+SUMIF($O$52:$O$64,Lister!$D$30,K$52:K$64)</f>
        <v>0</v>
      </c>
      <c r="AB101" s="219">
        <f>+SUMIF($O$52:$O$64,Lister!$D$30,L$52:L$64)</f>
        <v>0</v>
      </c>
      <c r="AC101" s="147">
        <f t="shared" si="141"/>
        <v>0</v>
      </c>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row>
    <row r="102" spans="14:62" s="9" customFormat="1" ht="14.25" customHeight="1" x14ac:dyDescent="0.2">
      <c r="N102" s="71"/>
      <c r="O102" s="87"/>
      <c r="P102" s="87"/>
      <c r="Q102" s="158" t="s">
        <v>78</v>
      </c>
      <c r="R102" s="327">
        <f t="shared" si="140"/>
        <v>0</v>
      </c>
      <c r="S102" s="328">
        <f>+S101+S100</f>
        <v>0</v>
      </c>
      <c r="T102" s="346">
        <f t="shared" ref="T102:Z102" si="144">+T101+T100</f>
        <v>0</v>
      </c>
      <c r="U102" s="346">
        <f t="shared" si="144"/>
        <v>0</v>
      </c>
      <c r="V102" s="346">
        <f t="shared" si="144"/>
        <v>0</v>
      </c>
      <c r="W102" s="346">
        <f t="shared" si="144"/>
        <v>0</v>
      </c>
      <c r="X102" s="347">
        <f t="shared" si="144"/>
        <v>0</v>
      </c>
      <c r="Y102" s="155">
        <f t="shared" si="144"/>
        <v>0</v>
      </c>
      <c r="Z102" s="154">
        <f t="shared" si="144"/>
        <v>0</v>
      </c>
      <c r="AA102" s="154">
        <f t="shared" ref="AA102:AB102" si="145">+AA101+AA100</f>
        <v>0</v>
      </c>
      <c r="AB102" s="154">
        <f t="shared" si="145"/>
        <v>0</v>
      </c>
      <c r="AC102" s="147">
        <f t="shared" si="141"/>
        <v>0</v>
      </c>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row>
    <row r="103" spans="14:62" s="15" customFormat="1" ht="14.25" customHeight="1" x14ac:dyDescent="0.2">
      <c r="N103" s="71"/>
      <c r="O103" s="87"/>
      <c r="P103" s="87"/>
      <c r="Q103" s="159" t="s">
        <v>0</v>
      </c>
      <c r="R103" s="327">
        <f t="shared" si="140"/>
        <v>0</v>
      </c>
      <c r="S103" s="162">
        <f>IF(C12=2,S100*C6/100,IF($G$6=Lister!$D$4,(S100*$C$6)/100,IF($G$6=Lister!$D$5,(S102*$C$6)/100,IF($G$6=Lister!$D$6,((S102-SUMIFS(C52:C64,$O$52:$O$64,Lister!$D$30,$A$52:$A$64,Lister!$M$10))*$C$6)/100,IF($G$6=Lister!$D$7,(S101*$C$6)/100,0)))))</f>
        <v>0</v>
      </c>
      <c r="T103" s="340">
        <f>IF(D12=2,T100*D6/100,IF($G$6=Lister!$D$4,(T100*$C$6)/100,IF($G$6=Lister!$D$5,(T102*$C$6)/100,IF($G$6=Lister!$D$6,((T102-SUMIFS(D52:D64,$O$52:$O$64,Lister!$D$30,$A$52:$A$64,Lister!$M$10))*$C$6)/100,IF($G$6=Lister!$D$7,(T101*$C$6)/100,0)))))</f>
        <v>0</v>
      </c>
      <c r="U103" s="340">
        <f>IF(E12=2,U100*E6/100,IF($G$6=Lister!$D$4,(U100*$C$6)/100,IF($G$6=Lister!$D$5,(U102*$C$6)/100,IF($G$6=Lister!$D$6,((U102-SUMIFS(E52:E64,$O$52:$O$64,Lister!$D$30,$A$52:$A$64,Lister!$M$10))*$C$6)/100,IF($G$6=Lister!$D$7,(U101*$C$6)/100,0)))))</f>
        <v>0</v>
      </c>
      <c r="V103" s="340">
        <f>IF(F12=2,V100*F6/100,IF($G$6=Lister!$D$4,(V100*$C$6)/100,IF($G$6=Lister!$D$5,(V102*$C$6)/100,IF($G$6=Lister!$D$6,((V102-SUMIFS(F52:F64,$O$52:$O$64,Lister!$D$30,$A$52:$A$64,Lister!$M$10))*$C$6)/100,IF($G$6=Lister!$D$7,(V101*$C$6)/100,0)))))</f>
        <v>0</v>
      </c>
      <c r="W103" s="340">
        <f>IF(G12=2,W100*G6/100,IF($G$6=Lister!$D$4,(W100*$C$6)/100,IF($G$6=Lister!$D$5,(W102*$C$6)/100,IF($G$6=Lister!$D$6,((W102-SUMIFS(G52:G64,$O$52:$O$64,Lister!$D$30,$A$52:$A$64,Lister!$M$10))*$C$6)/100,IF($G$6=Lister!$D$7,(W101*$C$6)/100,0)))))</f>
        <v>0</v>
      </c>
      <c r="X103" s="341">
        <f>IF(H12=2,X100*H6/100,IF($G$6=Lister!$D$4,(X100*$C$6)/100,IF($G$6=Lister!$D$5,(X102*$C$6)/100,IF($G$6=Lister!$D$6,((X102-SUMIFS(H52:H64,$O$52:$O$64,Lister!$D$30,$A$52:$A$64,Lister!$M$10))*$C$6)/100,IF($G$6=Lister!$D$7,(X101*$C$6)/100,0)))))</f>
        <v>0</v>
      </c>
      <c r="Y103" s="216">
        <f>IF(I12=2,Y100*I6/100,IF($G$6=Lister!$D$4,(Y100*$C$6)/100,IF($G$6=Lister!$D$5,(Y102*$C$6)/100,IF($G$6=Lister!$D$6,((Y102-SUMIFS(I52:I64,$O$52:$O$64,Lister!$D$30,$A$52:$A$64,Lister!$M$10))*$C$6)/100,IF($G$6=Lister!$D$7,(Y101*$C$6)/100,0)))))</f>
        <v>0</v>
      </c>
      <c r="Z103" s="215">
        <f>IF(J12=2,Z100*J6/100,IF($G$6=Lister!$D$4,(Z100*$C$6)/100,IF($G$6=Lister!$D$5,(Z102*$C$6)/100,IF($G$6=Lister!$D$6,((Z102-SUMIFS(J52:J64,$O$52:$O$64,Lister!$D$30,$A$52:$A$64,Lister!$M$10))*$C$6)/100,IF($G$6=Lister!$D$7,(Z101*$C$6)/100,0)))))</f>
        <v>0</v>
      </c>
      <c r="AA103" s="215">
        <f>IF(K12=2,AA100*K6/100,IF($G$6=Lister!$D$4,(AA100*$C$6)/100,IF($G$6=Lister!$D$5,(AA102*$C$6)/100,IF($G$6=Lister!$D$6,((AA102-SUMIFS(K52:K64,$O$52:$O$64,Lister!$D$30,$A$52:$A$64,Lister!$M$10))*$C$6)/100,IF($G$6=Lister!$D$7,(AA101*$C$6)/100,0)))))</f>
        <v>0</v>
      </c>
      <c r="AB103" s="215">
        <f>IF(L12=2,AB100*L6/100,IF($G$6=Lister!$D$4,(AB100*$C$6)/100,IF($G$6=Lister!$D$5,(AB102*$C$6)/100,IF($G$6=Lister!$D$6,((AB102-SUMIFS(L52:L64,$O$52:$O$64,Lister!$D$30,$A$52:$A$64,Lister!$M$10))*$C$6)/100,IF($G$6=Lister!$D$7,(AB101*$C$6)/100,0)))))</f>
        <v>0</v>
      </c>
      <c r="AC103" s="147">
        <f t="shared" si="141"/>
        <v>0</v>
      </c>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row>
    <row r="104" spans="14:62" s="9" customFormat="1" ht="14.25" customHeight="1" x14ac:dyDescent="0.2">
      <c r="N104" s="71"/>
      <c r="O104" s="87"/>
      <c r="P104" s="87"/>
      <c r="Q104" s="160" t="s">
        <v>103</v>
      </c>
      <c r="R104" s="327">
        <f t="shared" si="140"/>
        <v>0</v>
      </c>
      <c r="S104" s="162">
        <f>+IF($C$8=Lister!$O$5,(SUMIF($O$20:$O$29,Lister!$D$30,C20:C29))*Takstblad!C$81,0)</f>
        <v>0</v>
      </c>
      <c r="T104" s="162">
        <f>+IF($C$8=Lister!$O$5,(SUMIF($O$20:$O$29,Lister!$D$30,D20:D29))*Takstblad!D$81,0)</f>
        <v>0</v>
      </c>
      <c r="U104" s="162">
        <f>+IF($C$8=Lister!$O$5,(SUMIF($O$20:$O$29,Lister!$D$30,E20:E29))*Takstblad!E$81,0)</f>
        <v>0</v>
      </c>
      <c r="V104" s="162">
        <f>+IF($C$8=Lister!$O$5,(SUMIF($O$20:$O$29,Lister!$D$30,F20:F29))*Takstblad!F$81,0)</f>
        <v>0</v>
      </c>
      <c r="W104" s="162">
        <f>+IF($C$8=Lister!$O$5,(SUMIF($O$20:$O$29,Lister!$D$30,G20:G29))*Takstblad!G$81,0)</f>
        <v>0</v>
      </c>
      <c r="X104" s="315">
        <f>+IF($C$8=Lister!$O$5,(SUMIF($O$20:$O$29,Lister!$D$30,H20:H29))*Takstblad!H$81,0)</f>
        <v>0</v>
      </c>
      <c r="Y104" s="312">
        <f>+IF($C$8=Lister!$O$5,(SUMIF($O$20:$O$29,Lister!$D$30,I20:I29))*Takstblad!I$81,0)</f>
        <v>0</v>
      </c>
      <c r="Z104" s="21">
        <f>+IF($C$8=Lister!$O$5,(SUMIF($O$20:$O$29,Lister!$D$30,J20:J29))*Takstblad!J$81,0)</f>
        <v>0</v>
      </c>
      <c r="AA104" s="21">
        <f>+IF($C$8=Lister!$O$5,(SUMIF($O$20:$O$29,Lister!$D$30,K20:K29))*Takstblad!K$81,0)</f>
        <v>0</v>
      </c>
      <c r="AB104" s="21">
        <f>+IF($C$8=Lister!$O$5,(SUMIF($O$20:$O$29,Lister!$D$30,L20:L29))*Takstblad!L$81,0)</f>
        <v>0</v>
      </c>
      <c r="AC104" s="147">
        <f t="shared" si="141"/>
        <v>0</v>
      </c>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row>
    <row r="105" spans="14:62" ht="14.25" customHeight="1" x14ac:dyDescent="0.2">
      <c r="N105" s="82"/>
      <c r="O105" s="93"/>
      <c r="P105" s="93"/>
      <c r="Q105" s="160" t="s">
        <v>108</v>
      </c>
      <c r="R105" s="327">
        <f t="shared" si="140"/>
        <v>0</v>
      </c>
      <c r="S105" s="162">
        <f>+IF($C$8="Project-Supplement",((SUMIFS(C20:C29,$O$20:$O$29,Lister!$D$30,$A$20:$A$29,Lister!$A$21)+SUMIFS(C20:C29,$O$20:$O$29,Lister!$D$30,$A$20:$A$29,Lister!$A$29)+SUMIFS(C20:C29,$O$20:$O$29,Lister!$D$30,$A$20:$A$29,Lister!$A$30)+SUMIFS(C20:C29,$O$20:$O$29,Lister!$D$30,$A$20:$A$29,Lister!$A$22)+SUMIFS(C20:C29,$O$20:$O$29,Lister!$D$30,$A$20:$A$29,Lister!$A$23)+SUMIFS(C20:C29,$O$20:$O$29,Lister!$D$30,$A$20:$A$29,Lister!$A$20))/12)*Takstblad!C$82,0)</f>
        <v>0</v>
      </c>
      <c r="T105" s="164">
        <f>+IF($C$8="Project-Supplement",((SUMIFS(D20:D29,$O$20:$O$29,Lister!$D$30,$A$20:$A$29,Lister!$A$21)+SUMIFS(D20:D29,$O$20:$O$29,Lister!$D$30,$A$20:$A$29,Lister!$A$29)+SUMIFS(D20:D29,$O$20:$O$29,Lister!$D$30,$A$20:$A$29,Lister!$A$30)+SUMIFS(D20:D29,$O$20:$O$29,Lister!$D$30,$A$20:$A$29,Lister!$A$22)+SUMIFS(D20:D29,$O$20:$O$29,Lister!$D$30,$A$20:$A$29,Lister!$A$23)+SUMIFS(D20:D29,$O$20:$O$29,Lister!$D$30,$A$20:$A$29,Lister!$A$20))/12)*Takstblad!D$82,0)</f>
        <v>0</v>
      </c>
      <c r="U105" s="164">
        <f>+IF($C$8="Project-Supplement",((SUMIFS(E20:E29,$O$20:$O$29,Lister!$D$30,$A$20:$A$29,Lister!$A$21)+SUMIFS(E20:E29,$O$20:$O$29,Lister!$D$30,$A$20:$A$29,Lister!$A$29)+SUMIFS(E20:E29,$O$20:$O$29,Lister!$D$30,$A$20:$A$29,Lister!$A$30)+SUMIFS(E20:E29,$O$20:$O$29,Lister!$D$30,$A$20:$A$29,Lister!$A$22)+SUMIFS(E20:E29,$O$20:$O$29,Lister!$D$30,$A$20:$A$29,Lister!$A$23)+SUMIFS(E20:E29,$O$20:$O$29,Lister!$D$30,$A$20:$A$29,Lister!$A$20))/12)*Takstblad!E$82,0)</f>
        <v>0</v>
      </c>
      <c r="V105" s="164">
        <f>+IF($C$8="Project-Supplement",((SUMIFS(F20:F29,$O$20:$O$29,Lister!$D$30,$A$20:$A$29,Lister!$A$21)+SUMIFS(F20:F29,$O$20:$O$29,Lister!$D$30,$A$20:$A$29,Lister!$A$29)+SUMIFS(F20:F29,$O$20:$O$29,Lister!$D$30,$A$20:$A$29,Lister!$A$30)+SUMIFS(F20:F29,$O$20:$O$29,Lister!$D$30,$A$20:$A$29,Lister!$A$22)+SUMIFS(F20:F29,$O$20:$O$29,Lister!$D$30,$A$20:$A$29,Lister!$A$23)+SUMIFS(F20:F29,$O$20:$O$29,Lister!$D$30,$A$20:$A$29,Lister!$A$20))/12)*Takstblad!F$82,0)</f>
        <v>0</v>
      </c>
      <c r="W105" s="164">
        <f>+IF($C$8="Project-Supplement",((SUMIFS(G20:G29,$O$20:$O$29,Lister!$D$30,$A$20:$A$29,Lister!$A$21)+SUMIFS(G20:G29,$O$20:$O$29,Lister!$D$30,$A$20:$A$29,Lister!$A$29)+SUMIFS(G20:G29,$O$20:$O$29,Lister!$D$30,$A$20:$A$29,Lister!$A$30)+SUMIFS(G20:G29,$O$20:$O$29,Lister!$D$30,$A$20:$A$29,Lister!$A$22)+SUMIFS(G20:G29,$O$20:$O$29,Lister!$D$30,$A$20:$A$29,Lister!$A$23)+SUMIFS(G20:G29,$O$20:$O$29,Lister!$D$30,$A$20:$A$29,Lister!$A$20))/12)*Takstblad!G$82,0)</f>
        <v>0</v>
      </c>
      <c r="X105" s="323">
        <f>+IF($C$8="Project-Supplement",((SUMIFS(H20:H29,$O$20:$O$29,Lister!$D$30,$A$20:$A$29,Lister!$A$21)+SUMIFS(H20:H29,$O$20:$O$29,Lister!$D$30,$A$20:$A$29,Lister!$A$29)+SUMIFS(H20:H29,$O$20:$O$29,Lister!$D$30,$A$20:$A$29,Lister!$A$30)+SUMIFS(H20:H29,$O$20:$O$29,Lister!$D$30,$A$20:$A$29,Lister!$A$22)+SUMIFS(H20:H29,$O$20:$O$29,Lister!$D$30,$A$20:$A$29,Lister!$A$23)+SUMIFS(H20:H29,$O$20:$O$29,Lister!$D$30,$A$20:$A$29,Lister!$A$20))/12)*Takstblad!H$82,0)</f>
        <v>0</v>
      </c>
      <c r="Y105" s="123">
        <f>+IF($C$8="Project-Supplement",((SUMIFS(I20:I29,$O$20:$O$29,Lister!$D$30,$A$20:$A$29,Lister!$A$21)+SUMIFS(I20:I29,$O$20:$O$29,Lister!$D$30,$A$20:$A$29,Lister!$A$29)+SUMIFS(I20:I29,$O$20:$O$29,Lister!$D$30,$A$20:$A$29,Lister!$A$30)+SUMIFS(I20:I29,$O$20:$O$29,Lister!$D$30,$A$20:$A$29,Lister!$A$22)+SUMIFS(I20:I29,$O$20:$O$29,Lister!$D$30,$A$20:$A$29,Lister!$A$23)+SUMIFS(I20:I29,$O$20:$O$29,Lister!$D$30,$A$20:$A$29,Lister!$A$20))/12)*Takstblad!I$82,0)</f>
        <v>0</v>
      </c>
      <c r="Z105" s="124">
        <f>+IF($C$8="Project-Supplement",((SUMIFS(J20:J29,$O$20:$O$29,Lister!$D$30,$A$20:$A$29,Lister!$A$21)+SUMIFS(J20:J29,$O$20:$O$29,Lister!$D$30,$A$20:$A$29,Lister!$A$29)+SUMIFS(J20:J29,$O$20:$O$29,Lister!$D$30,$A$20:$A$29,Lister!$A$30)+SUMIFS(J20:J29,$O$20:$O$29,Lister!$D$30,$A$20:$A$29,Lister!$A$22)+SUMIFS(J20:J29,$O$20:$O$29,Lister!$D$30,$A$20:$A$29,Lister!$A$23)+SUMIFS(J20:J29,$O$20:$O$29,Lister!$D$30,$A$20:$A$29,Lister!$A$20))/12)*Takstblad!J$82,0)</f>
        <v>0</v>
      </c>
      <c r="AA105" s="124">
        <f>+IF($C$8="Project-Supplement",((SUMIFS(K20:K29,$O$20:$O$29,Lister!$D$30,$A$20:$A$29,Lister!$A$21)+SUMIFS(K20:K29,$O$20:$O$29,Lister!$D$30,$A$20:$A$29,Lister!$A$29)+SUMIFS(K20:K29,$O$20:$O$29,Lister!$D$30,$A$20:$A$29,Lister!$A$30)+SUMIFS(K20:K29,$O$20:$O$29,Lister!$D$30,$A$20:$A$29,Lister!$A$22)+SUMIFS(K20:K29,$O$20:$O$29,Lister!$D$30,$A$20:$A$29,Lister!$A$23)+SUMIFS(K20:K29,$O$20:$O$29,Lister!$D$30,$A$20:$A$29,Lister!$A$20))/12)*Takstblad!K$82,0)</f>
        <v>0</v>
      </c>
      <c r="AB105" s="124">
        <f>+IF($C$8="Project-Supplement",((SUMIFS(L20:L29,$O$20:$O$29,Lister!$D$30,$A$20:$A$29,Lister!$A$21)+SUMIFS(L20:L29,$O$20:$O$29,Lister!$D$30,$A$20:$A$29,Lister!$A$29)+SUMIFS(L20:L29,$O$20:$O$29,Lister!$D$30,$A$20:$A$29,Lister!$A$30)+SUMIFS(L20:L29,$O$20:$O$29,Lister!$D$30,$A$20:$A$29,Lister!$A$22)+SUMIFS(L20:L29,$O$20:$O$29,Lister!$D$30,$A$20:$A$29,Lister!$A$23)+SUMIFS(L20:L29,$O$20:$O$29,Lister!$D$30,$A$20:$A$29,Lister!$A$20))/12)*Takstblad!L$82,0)</f>
        <v>0</v>
      </c>
      <c r="AC105" s="147">
        <f t="shared" si="141"/>
        <v>0</v>
      </c>
      <c r="AD105" s="71"/>
      <c r="AE105" s="71"/>
      <c r="AF105" s="71"/>
      <c r="AG105" s="71"/>
      <c r="AH105" s="71"/>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row>
    <row r="106" spans="14:62" ht="14.25" customHeight="1" x14ac:dyDescent="0.2">
      <c r="N106" s="71"/>
      <c r="O106" s="87"/>
      <c r="P106" s="87"/>
      <c r="Q106" s="159" t="s">
        <v>545</v>
      </c>
      <c r="R106" s="327">
        <f t="shared" si="140"/>
        <v>0</v>
      </c>
      <c r="S106" s="162" t="str">
        <f>IF($C$12=2,(SUM(S102:S105)*$C$13)/100,"0")</f>
        <v>0</v>
      </c>
      <c r="T106" s="164" t="str">
        <f>IF($C$12=2,(SUM(T102:T105)*$C$13)/100,"0")</f>
        <v>0</v>
      </c>
      <c r="U106" s="164" t="str">
        <f t="shared" ref="U106:Z106" si="146">IF($C$12=2,(SUM(U102:U105)*$C$13)/100,"0")</f>
        <v>0</v>
      </c>
      <c r="V106" s="164" t="str">
        <f t="shared" si="146"/>
        <v>0</v>
      </c>
      <c r="W106" s="164" t="str">
        <f t="shared" si="146"/>
        <v>0</v>
      </c>
      <c r="X106" s="323" t="str">
        <f t="shared" si="146"/>
        <v>0</v>
      </c>
      <c r="Y106" s="165" t="str">
        <f t="shared" si="146"/>
        <v>0</v>
      </c>
      <c r="Z106" s="164" t="str">
        <f t="shared" si="146"/>
        <v>0</v>
      </c>
      <c r="AA106" s="164" t="str">
        <f t="shared" ref="AA106:AB106" si="147">IF($C$12=2,(SUM(AA102:AA105)*$C$13)/100,"0")</f>
        <v>0</v>
      </c>
      <c r="AB106" s="164" t="str">
        <f t="shared" si="147"/>
        <v>0</v>
      </c>
      <c r="AC106" s="147">
        <f t="shared" si="141"/>
        <v>0</v>
      </c>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row>
    <row r="107" spans="14:62" ht="14.25" customHeight="1" x14ac:dyDescent="0.2">
      <c r="N107" s="70"/>
      <c r="O107" s="85"/>
      <c r="P107" s="85"/>
      <c r="Q107" s="158" t="s">
        <v>101</v>
      </c>
      <c r="R107" s="327">
        <f t="shared" si="140"/>
        <v>0</v>
      </c>
      <c r="S107" s="328">
        <f>+SUM(S102:S106)</f>
        <v>0</v>
      </c>
      <c r="T107" s="328">
        <f t="shared" ref="T107:Z107" si="148">+SUM(T102:T106)</f>
        <v>0</v>
      </c>
      <c r="U107" s="328">
        <f t="shared" si="148"/>
        <v>0</v>
      </c>
      <c r="V107" s="328">
        <f t="shared" si="148"/>
        <v>0</v>
      </c>
      <c r="W107" s="328">
        <f t="shared" si="148"/>
        <v>0</v>
      </c>
      <c r="X107" s="329">
        <f t="shared" si="148"/>
        <v>0</v>
      </c>
      <c r="Y107" s="311">
        <f t="shared" si="148"/>
        <v>0</v>
      </c>
      <c r="Z107" s="146">
        <f t="shared" si="148"/>
        <v>0</v>
      </c>
      <c r="AA107" s="146">
        <f t="shared" ref="AA107:AB107" si="149">+SUM(AA102:AA106)</f>
        <v>0</v>
      </c>
      <c r="AB107" s="146">
        <f t="shared" si="149"/>
        <v>0</v>
      </c>
      <c r="AC107" s="147">
        <f t="shared" si="141"/>
        <v>0</v>
      </c>
      <c r="AD107" s="71"/>
      <c r="AE107" s="82"/>
      <c r="AF107" s="82"/>
      <c r="AG107" s="82"/>
      <c r="AH107" s="82"/>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row>
    <row r="108" spans="14:62" s="9" customFormat="1" ht="14.25" customHeight="1" x14ac:dyDescent="0.2">
      <c r="N108" s="70"/>
      <c r="O108" s="85"/>
      <c r="P108" s="85"/>
      <c r="Q108" s="238"/>
      <c r="R108" s="142"/>
      <c r="S108" s="76"/>
      <c r="T108" s="76"/>
      <c r="U108" s="76"/>
      <c r="V108" s="76"/>
      <c r="W108" s="76"/>
      <c r="X108" s="142"/>
      <c r="Y108" s="76"/>
      <c r="Z108" s="76"/>
      <c r="AA108" s="76"/>
      <c r="AB108" s="76"/>
      <c r="AC108" s="142"/>
      <c r="AD108" s="82"/>
      <c r="AE108" s="71"/>
      <c r="AF108" s="71"/>
      <c r="AG108" s="71"/>
      <c r="AH108" s="71"/>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row>
    <row r="109" spans="14:62" ht="14.25" customHeight="1" x14ac:dyDescent="0.25">
      <c r="N109" s="70"/>
      <c r="O109" s="85"/>
      <c r="P109" s="85"/>
      <c r="Q109" s="139" t="s">
        <v>656</v>
      </c>
      <c r="R109" s="140"/>
      <c r="S109" s="241"/>
      <c r="T109" s="145"/>
      <c r="U109" s="145"/>
      <c r="V109" s="145"/>
      <c r="W109" s="145"/>
      <c r="X109" s="320"/>
      <c r="Y109" s="145"/>
      <c r="Z109" s="145"/>
      <c r="AA109" s="145"/>
      <c r="AB109" s="145"/>
      <c r="AC109" s="140"/>
      <c r="AD109" s="71"/>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row>
    <row r="110" spans="14:62" ht="14.25" customHeight="1" x14ac:dyDescent="0.25">
      <c r="N110" s="9"/>
      <c r="O110" s="9"/>
      <c r="P110" s="9"/>
      <c r="Q110" s="143"/>
      <c r="R110" s="142"/>
      <c r="S110" s="16"/>
      <c r="T110" s="76"/>
      <c r="U110" s="76"/>
      <c r="V110" s="76"/>
      <c r="W110" s="76"/>
      <c r="X110" s="142"/>
      <c r="Y110" s="76"/>
      <c r="Z110" s="76"/>
      <c r="AA110" s="76"/>
      <c r="AB110" s="76"/>
      <c r="AC110" s="142"/>
      <c r="AD110" s="70"/>
      <c r="AE110" s="70"/>
      <c r="AF110" s="70"/>
      <c r="AG110" s="70"/>
      <c r="AH110" s="70"/>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row>
    <row r="111" spans="14:62" ht="14.25" customHeight="1" x14ac:dyDescent="0.2">
      <c r="Q111" s="161" t="s">
        <v>22</v>
      </c>
      <c r="R111" s="133" t="s">
        <v>34</v>
      </c>
      <c r="S111" s="45">
        <f>+S97</f>
        <v>2025</v>
      </c>
      <c r="T111" s="8">
        <f t="shared" ref="T111:Z111" si="150">+T97</f>
        <v>2026</v>
      </c>
      <c r="U111" s="8">
        <f t="shared" si="150"/>
        <v>2027</v>
      </c>
      <c r="V111" s="8">
        <f t="shared" si="150"/>
        <v>2028</v>
      </c>
      <c r="W111" s="8">
        <f t="shared" si="150"/>
        <v>2029</v>
      </c>
      <c r="X111" s="133">
        <f t="shared" si="150"/>
        <v>2030</v>
      </c>
      <c r="Y111" s="8">
        <f t="shared" si="150"/>
        <v>2031</v>
      </c>
      <c r="Z111" s="8">
        <f t="shared" si="150"/>
        <v>2032</v>
      </c>
      <c r="AA111" s="8">
        <f t="shared" ref="AA111:AB111" si="151">+AA97</f>
        <v>2033</v>
      </c>
      <c r="AB111" s="8">
        <f t="shared" si="151"/>
        <v>2034</v>
      </c>
      <c r="AC111" s="133" t="s">
        <v>34</v>
      </c>
      <c r="AD111" s="70"/>
      <c r="AE111" s="70"/>
      <c r="AF111" s="70"/>
      <c r="AG111" s="70"/>
      <c r="AH111" s="70"/>
    </row>
    <row r="112" spans="14:62" ht="14.25" customHeight="1" x14ac:dyDescent="0.2">
      <c r="Q112" s="156" t="s">
        <v>74</v>
      </c>
      <c r="R112" s="330">
        <f t="shared" ref="R112:R121" si="152">+AC112</f>
        <v>0</v>
      </c>
      <c r="S112" s="331">
        <f>+SUMIF($O$20:$O$29,Lister!$D$31,S$20:S$29)</f>
        <v>0</v>
      </c>
      <c r="T112" s="334">
        <f>+SUMIF($O$20:$O$29,Lister!$D$31,T$20:T$29)</f>
        <v>0</v>
      </c>
      <c r="U112" s="331">
        <f>+SUMIF($O$20:$O$29,Lister!$D$31,U$20:U$29)</f>
        <v>0</v>
      </c>
      <c r="V112" s="334">
        <f>+SUMIF($O$20:$O$29,Lister!$D$31,V$20:V$29)</f>
        <v>0</v>
      </c>
      <c r="W112" s="331">
        <f>+SUMIF($O$20:$O$29,Lister!$D$31,W$20:W$29)</f>
        <v>0</v>
      </c>
      <c r="X112" s="335">
        <f>+SUMIF($O$20:$O$29,Lister!$D$31,X$20:X$29)</f>
        <v>0</v>
      </c>
      <c r="Y112" s="309">
        <f>+SUMIF($O$20:$O$29,Lister!$D$31,Y$20:Y$29)</f>
        <v>0</v>
      </c>
      <c r="Z112" s="28">
        <f>+SUMIF($O$20:$O$29,Lister!$D$31,Z$20:Z$29)</f>
        <v>0</v>
      </c>
      <c r="AA112" s="28">
        <f>+SUMIF($O$20:$O$29,Lister!$D$31,AA$20:AA$29)</f>
        <v>0</v>
      </c>
      <c r="AB112" s="28">
        <f>+SUMIF($O$20:$O$29,Lister!$D$31,AB$20:AB$29)</f>
        <v>0</v>
      </c>
      <c r="AC112" s="149">
        <f>SUM(S112:Z112)</f>
        <v>0</v>
      </c>
      <c r="AD112" s="70"/>
      <c r="AE112" s="71"/>
      <c r="AF112" s="71"/>
      <c r="AG112" s="71"/>
      <c r="AH112" s="71"/>
    </row>
    <row r="113" spans="17:30" ht="14.25" customHeight="1" x14ac:dyDescent="0.2">
      <c r="Q113" s="157" t="s">
        <v>75</v>
      </c>
      <c r="R113" s="324">
        <f t="shared" si="152"/>
        <v>0</v>
      </c>
      <c r="S113" s="325">
        <f>+SUMIF($O$33:$O$45,Lister!$D$31,S$33:S$45)</f>
        <v>0</v>
      </c>
      <c r="T113" s="336">
        <f>+SUMIF($O$33:$O$45,Lister!$D$31,T$33:T$45)</f>
        <v>0</v>
      </c>
      <c r="U113" s="325">
        <f>+SUMIF($O$33:$O$45,Lister!$D$31,U$33:U$45)</f>
        <v>0</v>
      </c>
      <c r="V113" s="336">
        <f>+SUMIF($O$33:$O$45,Lister!$D$31,V$33:V$45)</f>
        <v>0</v>
      </c>
      <c r="W113" s="325">
        <f>+SUMIF($O$33:$O$45,Lister!$D$31,W$33:W$45)</f>
        <v>0</v>
      </c>
      <c r="X113" s="337">
        <f>+SUMIF($O$33:$O$45,Lister!$D$31,X$33:X$45)</f>
        <v>0</v>
      </c>
      <c r="Y113" s="310">
        <f>+SUMIF($O$33:$O$45,Lister!$D$31,Y$33:Y$45)</f>
        <v>0</v>
      </c>
      <c r="Z113" s="122">
        <f>+SUMIF($O$33:$O$45,Lister!$D$31,Z$33:Z$45)</f>
        <v>0</v>
      </c>
      <c r="AA113" s="122">
        <f>+SUMIF($O$33:$O$45,Lister!$D$31,AA$33:AA$45)</f>
        <v>0</v>
      </c>
      <c r="AB113" s="122">
        <f>+SUMIF($O$33:$O$45,Lister!$D$31,AB$33:AB$45)</f>
        <v>0</v>
      </c>
      <c r="AC113" s="150">
        <f t="shared" ref="AC113:AC116" si="153">SUM(S113:Z113)</f>
        <v>0</v>
      </c>
      <c r="AD113" s="71"/>
    </row>
    <row r="114" spans="17:30" ht="14.25" customHeight="1" x14ac:dyDescent="0.2">
      <c r="Q114" s="158" t="s">
        <v>76</v>
      </c>
      <c r="R114" s="327">
        <f t="shared" si="152"/>
        <v>0</v>
      </c>
      <c r="S114" s="328">
        <f>+S113+S112</f>
        <v>0</v>
      </c>
      <c r="T114" s="328">
        <f t="shared" ref="T114:Z114" si="154">+T113+T112</f>
        <v>0</v>
      </c>
      <c r="U114" s="328">
        <f t="shared" si="154"/>
        <v>0</v>
      </c>
      <c r="V114" s="328">
        <f t="shared" si="154"/>
        <v>0</v>
      </c>
      <c r="W114" s="328">
        <f t="shared" si="154"/>
        <v>0</v>
      </c>
      <c r="X114" s="329">
        <f t="shared" si="154"/>
        <v>0</v>
      </c>
      <c r="Y114" s="311">
        <f t="shared" si="154"/>
        <v>0</v>
      </c>
      <c r="Z114" s="146">
        <f t="shared" si="154"/>
        <v>0</v>
      </c>
      <c r="AA114" s="146">
        <f t="shared" ref="AA114:AB114" si="155">+AA113+AA112</f>
        <v>0</v>
      </c>
      <c r="AB114" s="146">
        <f t="shared" si="155"/>
        <v>0</v>
      </c>
      <c r="AC114" s="147">
        <f t="shared" si="153"/>
        <v>0</v>
      </c>
    </row>
    <row r="115" spans="17:30" ht="14.25" customHeight="1" x14ac:dyDescent="0.2">
      <c r="Q115" s="158" t="s">
        <v>77</v>
      </c>
      <c r="R115" s="327">
        <f t="shared" si="152"/>
        <v>0</v>
      </c>
      <c r="S115" s="328">
        <f>+SUMIF($O$52:$O$64,Lister!$D$31,C$52:C$64)</f>
        <v>0</v>
      </c>
      <c r="T115" s="344">
        <f>+SUMIF($O$52:$O$64,Lister!$D$31,D$52:D$64)</f>
        <v>0</v>
      </c>
      <c r="U115" s="344">
        <f>+SUMIF($O$52:$O$64,Lister!$D$31,E$52:E$64)</f>
        <v>0</v>
      </c>
      <c r="V115" s="344">
        <f>+SUMIF($O$52:$O$64,Lister!$D$31,F$52:F$64)</f>
        <v>0</v>
      </c>
      <c r="W115" s="344">
        <f>+SUMIF($O$52:$O$64,Lister!$D$31,G$52:G$64)</f>
        <v>0</v>
      </c>
      <c r="X115" s="345">
        <f>+SUMIF($O$52:$O$64,Lister!$D$31,H$52:H$64)</f>
        <v>0</v>
      </c>
      <c r="Y115" s="220">
        <f>+SUMIF($O$52:$O$64,Lister!$D$31,I$52:I$64)</f>
        <v>0</v>
      </c>
      <c r="Z115" s="219">
        <f>+SUMIF($O$52:$O$64,Lister!$D$31,J$52:J$64)</f>
        <v>0</v>
      </c>
      <c r="AA115" s="219">
        <f>+SUMIF($O$52:$O$64,Lister!$D$31,K$52:K$64)</f>
        <v>0</v>
      </c>
      <c r="AB115" s="219">
        <f>+SUMIF($O$52:$O$64,Lister!$D$31,L$52:L$64)</f>
        <v>0</v>
      </c>
      <c r="AC115" s="147">
        <f t="shared" si="153"/>
        <v>0</v>
      </c>
    </row>
    <row r="116" spans="17:30" ht="14.25" customHeight="1" x14ac:dyDescent="0.2">
      <c r="Q116" s="158" t="s">
        <v>78</v>
      </c>
      <c r="R116" s="327">
        <f t="shared" si="152"/>
        <v>0</v>
      </c>
      <c r="S116" s="328">
        <f>+S115+S114</f>
        <v>0</v>
      </c>
      <c r="T116" s="346">
        <f t="shared" ref="T116:Z116" si="156">+T115+T114</f>
        <v>0</v>
      </c>
      <c r="U116" s="346">
        <f t="shared" si="156"/>
        <v>0</v>
      </c>
      <c r="V116" s="346">
        <f t="shared" si="156"/>
        <v>0</v>
      </c>
      <c r="W116" s="346">
        <f t="shared" si="156"/>
        <v>0</v>
      </c>
      <c r="X116" s="347">
        <f t="shared" si="156"/>
        <v>0</v>
      </c>
      <c r="Y116" s="155">
        <f t="shared" si="156"/>
        <v>0</v>
      </c>
      <c r="Z116" s="154">
        <f t="shared" si="156"/>
        <v>0</v>
      </c>
      <c r="AA116" s="154">
        <f t="shared" ref="AA116:AB116" si="157">+AA115+AA114</f>
        <v>0</v>
      </c>
      <c r="AB116" s="154">
        <f t="shared" si="157"/>
        <v>0</v>
      </c>
      <c r="AC116" s="147">
        <f t="shared" si="153"/>
        <v>0</v>
      </c>
    </row>
    <row r="117" spans="17:30" ht="14.25" customHeight="1" x14ac:dyDescent="0.2">
      <c r="Q117" s="159" t="s">
        <v>0</v>
      </c>
      <c r="R117" s="327">
        <f t="shared" si="152"/>
        <v>0</v>
      </c>
      <c r="S117" s="162">
        <f>IF(C12=2,S114*C6/100,IF($G$6=Lister!$D$4,(S114*$C$6)/100,IF($G$6=Lister!$D$5,(S116*$C$6)/100,IF($G$6=Lister!$D$6,((S116-SUMIFS(C52:C64,$O$52:$O$64,Lister!$D$31,$A$52:$A$64,Lister!$M$10))*$C$6)/100,IF($G$6=Lister!$D$7,(S115*$C$6)/100,0)))))</f>
        <v>0</v>
      </c>
      <c r="T117" s="340">
        <f>IF(D12=2,T114*D6/100,IF($G$6=Lister!$D$4,(T114*$C$6)/100,IF($G$6=Lister!$D$5,(T116*$C$6)/100,IF($G$6=Lister!$D$6,((T116-SUMIFS(D52:D64,$O$52:$O$64,Lister!$D$31,$A$52:$A$64,Lister!$M$10))*$C$6)/100,IF($G$6=Lister!$D$7,(T115*$C$6)/100,0)))))</f>
        <v>0</v>
      </c>
      <c r="U117" s="340">
        <f>IF(E12=2,U114*E6/100,IF($G$6=Lister!$D$4,(U114*$C$6)/100,IF($G$6=Lister!$D$5,(U116*$C$6)/100,IF($G$6=Lister!$D$6,((U116-SUMIFS(E52:E64,$O$52:$O$64,Lister!$D$31,$A$52:$A$64,Lister!$M$10))*$C$6)/100,IF($G$6=Lister!$D$7,(U115*$C$6)/100,0)))))</f>
        <v>0</v>
      </c>
      <c r="V117" s="340">
        <f>IF(F12=2,V114*F6/100,IF($G$6=Lister!$D$4,(V114*$C$6)/100,IF($G$6=Lister!$D$5,(V116*$C$6)/100,IF($G$6=Lister!$D$6,((V116-SUMIFS(F52:F64,$O$52:$O$64,Lister!$D$31,$A$52:$A$64,Lister!$M$10))*$C$6)/100,IF($G$6=Lister!$D$7,(V115*$C$6)/100,0)))))</f>
        <v>0</v>
      </c>
      <c r="W117" s="340">
        <f>IF(G12=2,W114*G6/100,IF($G$6=Lister!$D$4,(W114*$C$6)/100,IF($G$6=Lister!$D$5,(W116*$C$6)/100,IF($G$6=Lister!$D$6,((W116-SUMIFS(G52:G64,$O$52:$O$64,Lister!$D$31,$A$52:$A$64,Lister!$M$10))*$C$6)/100,IF($G$6=Lister!$D$7,(W115*$C$6)/100,0)))))</f>
        <v>0</v>
      </c>
      <c r="X117" s="341">
        <f>IF(H12=2,X114*H6/100,IF($G$6=Lister!$D$4,(X114*$C$6)/100,IF($G$6=Lister!$D$5,(X116*$C$6)/100,IF($G$6=Lister!$D$6,((X116-SUMIFS(H52:H64,$O$52:$O$64,Lister!$D$31,$A$52:$A$64,Lister!$M$10))*$C$6)/100,IF($G$6=Lister!$D$7,(X115*$C$6)/100,0)))))</f>
        <v>0</v>
      </c>
      <c r="Y117" s="216">
        <f>IF(I12=2,Y114*I6/100,IF($G$6=Lister!$D$4,(Y114*$C$6)/100,IF($G$6=Lister!$D$5,(Y116*$C$6)/100,IF($G$6=Lister!$D$6,((Y116-SUMIFS(I52:I64,$O$52:$O$64,Lister!$D$31,$A$52:$A$64,Lister!$M$10))*$C$6)/100,IF($G$6=Lister!$D$7,(Y115*$C$6)/100,0)))))</f>
        <v>0</v>
      </c>
      <c r="Z117" s="215">
        <f>IF(J12=2,Z114*J6/100,IF($G$6=Lister!$D$4,(Z114*$C$6)/100,IF($G$6=Lister!$D$5,(Z116*$C$6)/100,IF($G$6=Lister!$D$6,((Z116-SUMIFS(J52:J64,$O$52:$O$64,Lister!$D$31,$A$52:$A$64,Lister!$M$10))*$C$6)/100,IF($G$6=Lister!$D$7,(Z115*$C$6)/100,0)))))</f>
        <v>0</v>
      </c>
      <c r="AA117" s="215">
        <f>IF(K12=2,AA114*K6/100,IF($G$6=Lister!$D$4,(AA114*$C$6)/100,IF($G$6=Lister!$D$5,(AA116*$C$6)/100,IF($G$6=Lister!$D$6,((AA116-SUMIFS(K52:K64,$O$52:$O$64,Lister!$D$31,$A$52:$A$64,Lister!$M$10))*$C$6)/100,IF($G$6=Lister!$D$7,(AA115*$C$6)/100,0)))))</f>
        <v>0</v>
      </c>
      <c r="AB117" s="215">
        <f>IF(L12=2,AB114*L6/100,IF($G$6=Lister!$D$4,(AB114*$C$6)/100,IF($G$6=Lister!$D$5,(AB116*$C$6)/100,IF($G$6=Lister!$D$6,((AB116-SUMIFS(L52:L64,$O$52:$O$64,Lister!$D$31,$A$52:$A$64,Lister!$M$10))*$C$6)/100,IF($G$6=Lister!$D$7,(AB115*$C$6)/100,0)))))</f>
        <v>0</v>
      </c>
      <c r="AC117" s="147">
        <f>SUM(S117:Z117)</f>
        <v>0</v>
      </c>
    </row>
    <row r="118" spans="17:30" ht="14.25" customHeight="1" x14ac:dyDescent="0.2">
      <c r="Q118" s="160" t="s">
        <v>103</v>
      </c>
      <c r="R118" s="327">
        <f t="shared" si="152"/>
        <v>0</v>
      </c>
      <c r="S118" s="162">
        <f>+IF($C$8=Lister!$O$5,(SUMIF($O$20:$O$29,Lister!$D$31,C20:C29))*Takstblad!C$81,0)</f>
        <v>0</v>
      </c>
      <c r="T118" s="162">
        <f>+IF($C$8=Lister!$O$5,(SUMIF($O$20:$O$29,Lister!$D$31,D20:D29))*Takstblad!D$81,0)</f>
        <v>0</v>
      </c>
      <c r="U118" s="162">
        <f>+IF($C$8=Lister!$O$5,(SUMIF($O$20:$O$29,Lister!$D$31,E20:E29))*Takstblad!E$81,0)</f>
        <v>0</v>
      </c>
      <c r="V118" s="162">
        <f>+IF($C$8=Lister!$O$5,(SUMIF($O$20:$O$29,Lister!$D$31,F20:F29))*Takstblad!F$81,0)</f>
        <v>0</v>
      </c>
      <c r="W118" s="162">
        <f>+IF($C$8=Lister!$O$5,(SUMIF($O$20:$O$29,Lister!$D$31,G20:G29))*Takstblad!G$81,0)</f>
        <v>0</v>
      </c>
      <c r="X118" s="315">
        <f>+IF($C$8=Lister!$O$5,(SUMIF($O$20:$O$29,Lister!$D$31,H20:H29))*Takstblad!H$81,0)</f>
        <v>0</v>
      </c>
      <c r="Y118" s="312">
        <f>+IF($C$8=Lister!$O$5,(SUMIF($O$20:$O$29,Lister!$D$31,I20:I29))*Takstblad!I$81,0)</f>
        <v>0</v>
      </c>
      <c r="Z118" s="21">
        <f>+IF($C$8=Lister!$O$5,(SUMIF($O$20:$O$29,Lister!$D$31,J20:J29))*Takstblad!J$81,0)</f>
        <v>0</v>
      </c>
      <c r="AA118" s="21">
        <f>+IF($C$8=Lister!$O$5,(SUMIF($O$20:$O$29,Lister!$D$31,K20:K29))*Takstblad!K$81,0)</f>
        <v>0</v>
      </c>
      <c r="AB118" s="21">
        <f>+IF($C$8=Lister!$O$5,(SUMIF($O$20:$O$29,Lister!$D$31,L20:L29))*Takstblad!L$81,0)</f>
        <v>0</v>
      </c>
      <c r="AC118" s="147">
        <f t="shared" ref="AC118:AC121" si="158">SUM(S118:Z118)</f>
        <v>0</v>
      </c>
    </row>
    <row r="119" spans="17:30" ht="14.25" customHeight="1" x14ac:dyDescent="0.2">
      <c r="Q119" s="160" t="s">
        <v>108</v>
      </c>
      <c r="R119" s="327">
        <f t="shared" si="152"/>
        <v>0</v>
      </c>
      <c r="S119" s="162"/>
      <c r="T119" s="164"/>
      <c r="U119" s="164"/>
      <c r="V119" s="164"/>
      <c r="W119" s="164"/>
      <c r="X119" s="323"/>
      <c r="Y119" s="123"/>
      <c r="Z119" s="124"/>
      <c r="AA119" s="124"/>
      <c r="AB119" s="124"/>
      <c r="AC119" s="147">
        <f t="shared" si="158"/>
        <v>0</v>
      </c>
    </row>
    <row r="120" spans="17:30" ht="14.25" customHeight="1" x14ac:dyDescent="0.2">
      <c r="Q120" s="159" t="s">
        <v>545</v>
      </c>
      <c r="R120" s="327">
        <f t="shared" si="152"/>
        <v>0</v>
      </c>
      <c r="S120" s="162" t="str">
        <f>IF($C$12=2,(SUM(S116:S119)*$C$13)/100,"0")</f>
        <v>0</v>
      </c>
      <c r="T120" s="164" t="str">
        <f t="shared" ref="T120:Z120" si="159">IF($C$12=2,(SUM(T116:T119)*$C$13)/100,"0")</f>
        <v>0</v>
      </c>
      <c r="U120" s="164" t="str">
        <f t="shared" si="159"/>
        <v>0</v>
      </c>
      <c r="V120" s="164" t="str">
        <f t="shared" si="159"/>
        <v>0</v>
      </c>
      <c r="W120" s="164" t="str">
        <f t="shared" si="159"/>
        <v>0</v>
      </c>
      <c r="X120" s="323" t="str">
        <f t="shared" si="159"/>
        <v>0</v>
      </c>
      <c r="Y120" s="165" t="str">
        <f t="shared" si="159"/>
        <v>0</v>
      </c>
      <c r="Z120" s="164" t="str">
        <f t="shared" si="159"/>
        <v>0</v>
      </c>
      <c r="AA120" s="164" t="str">
        <f t="shared" ref="AA120:AB120" si="160">IF($C$12=2,(SUM(AA116:AA119)*$C$13)/100,"0")</f>
        <v>0</v>
      </c>
      <c r="AB120" s="164" t="str">
        <f t="shared" si="160"/>
        <v>0</v>
      </c>
      <c r="AC120" s="147">
        <f t="shared" si="158"/>
        <v>0</v>
      </c>
    </row>
    <row r="121" spans="17:30" ht="14.25" customHeight="1" thickBot="1" x14ac:dyDescent="0.25">
      <c r="Q121" s="318" t="s">
        <v>101</v>
      </c>
      <c r="R121" s="348">
        <f t="shared" si="152"/>
        <v>0</v>
      </c>
      <c r="S121" s="349">
        <f>+SUM(S116:S120)</f>
        <v>0</v>
      </c>
      <c r="T121" s="349">
        <f t="shared" ref="T121:Z121" si="161">+SUM(T116:T120)</f>
        <v>0</v>
      </c>
      <c r="U121" s="349">
        <f t="shared" si="161"/>
        <v>0</v>
      </c>
      <c r="V121" s="349">
        <f t="shared" si="161"/>
        <v>0</v>
      </c>
      <c r="W121" s="349">
        <f t="shared" si="161"/>
        <v>0</v>
      </c>
      <c r="X121" s="350">
        <f t="shared" si="161"/>
        <v>0</v>
      </c>
      <c r="Y121" s="314">
        <f t="shared" si="161"/>
        <v>0</v>
      </c>
      <c r="Z121" s="152">
        <f t="shared" si="161"/>
        <v>0</v>
      </c>
      <c r="AA121" s="152">
        <f t="shared" ref="AA121:AB121" si="162">+SUM(AA116:AA120)</f>
        <v>0</v>
      </c>
      <c r="AB121" s="152">
        <f t="shared" si="162"/>
        <v>0</v>
      </c>
      <c r="AC121" s="153">
        <f t="shared" si="158"/>
        <v>0</v>
      </c>
    </row>
    <row r="122" spans="17:30" x14ac:dyDescent="0.2">
      <c r="Q122" s="7"/>
      <c r="R122" s="7"/>
    </row>
    <row r="123" spans="17:30" x14ac:dyDescent="0.2">
      <c r="Q123" s="7"/>
      <c r="R123" s="7"/>
    </row>
    <row r="124" spans="17:30" x14ac:dyDescent="0.2">
      <c r="Q124" s="7"/>
      <c r="R124" s="7"/>
    </row>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sheetData>
  <mergeCells count="35">
    <mergeCell ref="BF19:BG19"/>
    <mergeCell ref="BF32:BG32"/>
    <mergeCell ref="BI19:BJ19"/>
    <mergeCell ref="BI32:BJ32"/>
    <mergeCell ref="AE32:AF32"/>
    <mergeCell ref="AH32:AI32"/>
    <mergeCell ref="AK32:AL32"/>
    <mergeCell ref="AN32:AO32"/>
    <mergeCell ref="AQ32:AR32"/>
    <mergeCell ref="AZ19:BA19"/>
    <mergeCell ref="AZ32:BA32"/>
    <mergeCell ref="BC19:BD19"/>
    <mergeCell ref="BC32:BD32"/>
    <mergeCell ref="AT19:AU19"/>
    <mergeCell ref="AW19:AX19"/>
    <mergeCell ref="AT32:AU32"/>
    <mergeCell ref="AW32:AX32"/>
    <mergeCell ref="AN19:AO19"/>
    <mergeCell ref="AQ19:AR19"/>
    <mergeCell ref="D6:F6"/>
    <mergeCell ref="G6:H6"/>
    <mergeCell ref="G7:H7"/>
    <mergeCell ref="D12:G12"/>
    <mergeCell ref="D13:G13"/>
    <mergeCell ref="J12:O12"/>
    <mergeCell ref="C8:D8"/>
    <mergeCell ref="C3:H3"/>
    <mergeCell ref="C4:H4"/>
    <mergeCell ref="C5:H5"/>
    <mergeCell ref="AH19:AI19"/>
    <mergeCell ref="AK19:AL19"/>
    <mergeCell ref="AE19:AF19"/>
    <mergeCell ref="D7:F7"/>
    <mergeCell ref="D14:H14"/>
    <mergeCell ref="D16:H16"/>
  </mergeCells>
  <dataValidations count="3">
    <dataValidation errorStyle="information" allowBlank="1" showInputMessage="1" showErrorMessage="1" sqref="O63:O64" xr:uid="{68B02D0A-13DC-4CCB-A602-5FF92E91A86F}"/>
    <dataValidation type="decimal" errorStyle="warning" operator="lessThan" allowBlank="1" showInputMessage="1" showErrorMessage="1" errorTitle="Too high value" error="Value can't exceed 12 months" sqref="C20:L29 C33:L42" xr:uid="{84BFE20E-6C6A-4F4E-AC7D-693293B4DCC2}">
      <formula1>13</formula1>
    </dataValidation>
    <dataValidation type="date" allowBlank="1" showInputMessage="1" showErrorMessage="1" sqref="H9:I10 D9:D10 C9" xr:uid="{8DFAF08A-F513-41F0-A051-5150D65334FD}">
      <formula1>45292</formula1>
      <formula2>73050</formula2>
    </dataValidation>
  </dataValidations>
  <pageMargins left="0.15748031496062992" right="0.23622047244094491" top="0.27559055118110237" bottom="0.19685039370078741" header="0" footer="0"/>
  <pageSetup paperSize="9" scale="55" orientation="landscape" r:id="rId1"/>
  <headerFooter alignWithMargins="0">
    <oddFooter>&amp;R&amp;A
&amp;D</oddFooter>
  </headerFooter>
  <rowBreaks count="1" manualBreakCount="1">
    <brk id="108" max="16383" man="1"/>
  </rowBreaks>
  <legacy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E00-000000000000}">
          <x14:formula1>
            <xm:f>Takstblad!$A$5:$A$30</xm:f>
          </x14:formula1>
          <xm:sqref>A20:A29</xm:sqref>
        </x14:dataValidation>
        <x14:dataValidation type="list" allowBlank="1" showInputMessage="1" xr:uid="{338CF1F9-CDDA-47CF-AF34-82886EF6D782}">
          <x14:formula1>
            <xm:f>Lister!$O$4:$O$5</xm:f>
          </x14:formula1>
          <xm:sqref>C11</xm:sqref>
        </x14:dataValidation>
        <x14:dataValidation type="list" allowBlank="1" showInputMessage="1" showErrorMessage="1" errorTitle="Information" error="Please choose a department from the list" xr:uid="{00000000-0002-0000-0E00-000004000000}">
          <x14:formula1>
            <xm:f>Lister!$A$4:$A$16</xm:f>
          </x14:formula1>
          <xm:sqref>C2</xm:sqref>
        </x14:dataValidation>
        <x14:dataValidation type="list" allowBlank="1" showInputMessage="1" showErrorMessage="1" xr:uid="{AF7A7938-ABE9-44F6-8120-ADA38AFB346F}">
          <x14:formula1>
            <xm:f>Lister!$M$4:$M$16</xm:f>
          </x14:formula1>
          <xm:sqref>A52:A62</xm:sqref>
        </x14:dataValidation>
        <x14:dataValidation type="list" errorStyle="warning" allowBlank="1" showInputMessage="1" showErrorMessage="1" errorTitle="Are you sure" error="You are about to select a number of hours that is not on the list. Are you sure you want to continue?" xr:uid="{CA779630-9D36-42AA-A2BD-85E8063F7FF4}">
          <x14:formula1>
            <xm:f>Lister!$F$4:$F$10</xm:f>
          </x14:formula1>
          <xm:sqref>C7</xm:sqref>
        </x14:dataValidation>
        <x14:dataValidation type="list" allowBlank="1" showInputMessage="1" showErrorMessage="1" errorTitle="STOP" error="You can only select a value from the list." xr:uid="{A523A369-396D-4A42-86DE-036A59C72543}">
          <x14:formula1>
            <xm:f>Lister!$I$4:$I$7</xm:f>
          </x14:formula1>
          <xm:sqref>G7:H7</xm:sqref>
        </x14:dataValidation>
        <x14:dataValidation type="list" allowBlank="1" showInputMessage="1" showErrorMessage="1" errorTitle="STOP" error="You can only select a value from the list." xr:uid="{FC7F51B3-EC56-4E17-83AA-B7BFDBAA6AF7}">
          <x14:formula1>
            <xm:f>Lister!$A$32:$A$33</xm:f>
          </x14:formula1>
          <xm:sqref>H8 H15</xm:sqref>
        </x14:dataValidation>
        <x14:dataValidation type="list" allowBlank="1" showInputMessage="1" showErrorMessage="1" errorTitle="STOP" error="You can only select a value from the list." xr:uid="{168699E9-2FAF-4434-B500-683D44C20D1C}">
          <x14:formula1>
            <xm:f>Lister!$A$41:$A$42</xm:f>
          </x14:formula1>
          <xm:sqref>C12</xm:sqref>
        </x14:dataValidation>
        <x14:dataValidation type="list" errorStyle="warning" allowBlank="1" showErrorMessage="1" errorTitle="Are you sure" error="You are about to select an EBIT that is different from 10. Are you sure you want to continue?" xr:uid="{D95D3D1E-EF55-4390-9B3D-96B0B1CC33C6}">
          <x14:formula1>
            <xm:f>Lister!$A$45:$A$45</xm:f>
          </x14:formula1>
          <xm:sqref>C13</xm:sqref>
        </x14:dataValidation>
        <x14:dataValidation type="list" errorStyle="warning" allowBlank="1" showInputMessage="1" xr:uid="{23EEE1CB-8FEE-463A-B856-D051864FA588}">
          <x14:formula1>
            <xm:f>Lister!$I$20:$I$45</xm:f>
          </x14:formula1>
          <xm:sqref>C5:H5</xm:sqref>
        </x14:dataValidation>
        <x14:dataValidation type="list" errorStyle="warning" allowBlank="1" showInputMessage="1" showErrorMessage="1" errorTitle="Are you sure" error="You are about to select an EBIT that is different from 10. Are you sure you want to continue?" xr:uid="{F84C6E87-B1FE-4BA4-8EA1-03C02D60430C}">
          <x14:formula1>
            <xm:f>Lister!$A$32:$A$33</xm:f>
          </x14:formula1>
          <xm:sqref>C14:C16</xm:sqref>
        </x14:dataValidation>
        <x14:dataValidation type="list" allowBlank="1" showInputMessage="1" xr:uid="{9DACA0B2-A2F8-46ED-A49C-0A3ECF2CBCE4}">
          <x14:formula1>
            <xm:f>Lister!$O$4:$O$6</xm:f>
          </x14:formula1>
          <xm:sqref>C8:D8</xm:sqref>
        </x14:dataValidation>
        <x14:dataValidation type="list" allowBlank="1" showInputMessage="1" showErrorMessage="1" errorTitle="STOP" error="You can only select a value from the list." xr:uid="{F49ACD66-6494-4450-83D5-86605AF8EB48}">
          <x14:formula1>
            <xm:f>Lister!$D$29:$D$32</xm:f>
          </x14:formula1>
          <xm:sqref>O20:P29 O33:P42 O52:P62</xm:sqref>
        </x14:dataValidation>
        <x14:dataValidation type="list" errorStyle="warning" allowBlank="1" showInputMessage="1" showErrorMessage="1" errorTitle="Are you sure" error="You are about to select an overhead rate that is not on the list. Are you sure you want to continue?" xr:uid="{5D78F8EA-3028-4F5B-8F15-6CFE4B1641B0}">
          <x14:formula1>
            <xm:f>Lister!$D$37:$D$43</xm:f>
          </x14:formula1>
          <xm:sqref>C6</xm:sqref>
        </x14:dataValidation>
        <x14:dataValidation type="list" allowBlank="1" showInputMessage="1" showErrorMessage="1" errorTitle="STOP" error="You can only select a value from the list." xr:uid="{5505AD4F-9DC8-4528-9F9B-E89CC24C2B70}">
          <x14:formula1>
            <xm:f>Lister!$D$4:$D$7</xm:f>
          </x14:formula1>
          <xm:sqref>G6:H6</xm:sqref>
        </x14:dataValidation>
        <x14:dataValidation type="list" allowBlank="1" showInputMessage="1" xr:uid="{50C03794-8F94-42F0-B478-604FC8CDD671}">
          <x14:formula1>
            <xm:f>Lister!$A$53:$A$54</xm:f>
          </x14:formula1>
          <xm:sqref>C10</xm:sqref>
        </x14:dataValidation>
        <x14:dataValidation type="list" allowBlank="1" showInputMessage="1" showErrorMessage="1" xr:uid="{3518CFBE-4662-4FA2-951B-D8DAF11B89AE}">
          <x14:formula1>
            <xm:f>Takstblad!$A$33:$A$42</xm:f>
          </x14:formula1>
          <xm:sqref>A33:A42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D844-029A-4A0D-A2C6-CEFC1413D32E}">
  <sheetPr codeName="Ark18">
    <tabColor theme="4" tint="0.59999389629810485"/>
    <pageSetUpPr fitToPage="1"/>
  </sheetPr>
  <dimension ref="A1:AO71"/>
  <sheetViews>
    <sheetView zoomScale="80" zoomScaleNormal="80" workbookViewId="0">
      <selection activeCell="E29" sqref="E29"/>
    </sheetView>
  </sheetViews>
  <sheetFormatPr defaultColWidth="9" defaultRowHeight="14.25" x14ac:dyDescent="0.2"/>
  <cols>
    <col min="1" max="1" width="5.375" customWidth="1"/>
    <col min="2" max="2" width="45.125" bestFit="1" customWidth="1"/>
    <col min="3" max="3" width="1.5" customWidth="1"/>
    <col min="4" max="14" width="11.5" customWidth="1"/>
  </cols>
  <sheetData>
    <row r="1" spans="1:41" ht="15" thickBot="1" x14ac:dyDescent="0.25"/>
    <row r="2" spans="1:41" ht="15" thickBot="1" x14ac:dyDescent="0.25">
      <c r="B2" s="243" t="s">
        <v>724</v>
      </c>
      <c r="C2" s="244"/>
      <c r="D2" s="245">
        <f>IFERROR(N43/N15,0)</f>
        <v>0</v>
      </c>
    </row>
    <row r="3" spans="1:41" ht="15" thickBot="1" x14ac:dyDescent="0.25"/>
    <row r="4" spans="1:41" s="5" customFormat="1" ht="19.899999999999999" customHeight="1" x14ac:dyDescent="0.25">
      <c r="A4" s="185"/>
      <c r="B4" s="186" t="s">
        <v>806</v>
      </c>
      <c r="C4" s="130"/>
      <c r="D4" s="130"/>
      <c r="E4" s="130"/>
      <c r="F4" s="130"/>
      <c r="G4" s="130"/>
      <c r="H4" s="130"/>
      <c r="I4" s="130"/>
      <c r="J4" s="130"/>
      <c r="K4" s="130"/>
      <c r="L4" s="130"/>
      <c r="M4" s="130"/>
      <c r="N4" s="172"/>
      <c r="O4" s="18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88"/>
      <c r="AO4" s="188"/>
    </row>
    <row r="5" spans="1:41" x14ac:dyDescent="0.2">
      <c r="B5" s="161" t="s">
        <v>22</v>
      </c>
      <c r="C5" s="4"/>
      <c r="D5" s="8">
        <v>2025</v>
      </c>
      <c r="E5" s="8">
        <f>+D5+1</f>
        <v>2026</v>
      </c>
      <c r="F5" s="8">
        <f t="shared" ref="F5:M5" si="0">+E5+1</f>
        <v>2027</v>
      </c>
      <c r="G5" s="8">
        <f t="shared" si="0"/>
        <v>2028</v>
      </c>
      <c r="H5" s="8">
        <f t="shared" si="0"/>
        <v>2029</v>
      </c>
      <c r="I5" s="8">
        <f t="shared" si="0"/>
        <v>2030</v>
      </c>
      <c r="J5" s="8">
        <f t="shared" si="0"/>
        <v>2031</v>
      </c>
      <c r="K5" s="8">
        <f t="shared" si="0"/>
        <v>2032</v>
      </c>
      <c r="L5" s="8">
        <f t="shared" si="0"/>
        <v>2033</v>
      </c>
      <c r="M5" s="8">
        <f t="shared" si="0"/>
        <v>2034</v>
      </c>
      <c r="N5" s="133" t="s">
        <v>34</v>
      </c>
    </row>
    <row r="6" spans="1:41" x14ac:dyDescent="0.2">
      <c r="B6" s="189" t="s">
        <v>74</v>
      </c>
      <c r="C6" s="120"/>
      <c r="D6" s="28">
        <f>+'B1'!S54+'B2'!S54+'B3'!S54+'B4'!S54+'B5'!S54</f>
        <v>0</v>
      </c>
      <c r="E6" s="28">
        <f>+'B1'!T54+'B2'!T54+'B3'!T54+'B4'!T54+'B5'!T54</f>
        <v>931200</v>
      </c>
      <c r="F6" s="28">
        <f>+'B1'!U54+'B2'!U54+'B3'!U54+'B4'!U54+'B5'!U54</f>
        <v>959700</v>
      </c>
      <c r="G6" s="28">
        <f>+'B1'!V54+'B2'!V54+'B3'!V54+'B4'!V54+'B5'!V54</f>
        <v>990000</v>
      </c>
      <c r="H6" s="28">
        <f>+'B1'!W54+'B2'!W54+'B3'!W54+'B4'!W54+'B5'!W54</f>
        <v>423000</v>
      </c>
      <c r="I6" s="28">
        <f>+'B1'!X54+'B2'!X54+'B3'!X54+'B4'!X54+'B5'!X54</f>
        <v>0</v>
      </c>
      <c r="J6" s="28">
        <f>+'B1'!Y54+'B2'!Y54+'B3'!Y54+'B4'!Y54+'B5'!Y54</f>
        <v>0</v>
      </c>
      <c r="K6" s="28">
        <f>+'B1'!Z54+'B2'!Z54+'B3'!Z54+'B4'!Z54+'B5'!Z54</f>
        <v>0</v>
      </c>
      <c r="L6" s="28">
        <f>+'B1'!AA54+'B2'!AA54+'B3'!AA54+'B4'!AA54+'B5'!AA54</f>
        <v>0</v>
      </c>
      <c r="M6" s="28">
        <f>+'B1'!AB54+'B2'!AB54+'B3'!AB54+'B4'!AB54+'B5'!AB54</f>
        <v>0</v>
      </c>
      <c r="N6" s="173">
        <f>SUM(D6:M6)</f>
        <v>3303900</v>
      </c>
    </row>
    <row r="7" spans="1:41" x14ac:dyDescent="0.2">
      <c r="B7" s="161" t="s">
        <v>75</v>
      </c>
      <c r="C7" s="121"/>
      <c r="D7" s="122">
        <f>+'B1'!S55+'B2'!S55+'B3'!S55+'B4'!S55+'B5'!S55</f>
        <v>0</v>
      </c>
      <c r="E7" s="122">
        <f>+'B1'!T55+'B2'!T55+'B3'!T55+'B4'!T55+'B5'!T55</f>
        <v>0</v>
      </c>
      <c r="F7" s="122">
        <f>+'B1'!U55+'B2'!U55+'B3'!U55+'B4'!U55+'B5'!U55</f>
        <v>0</v>
      </c>
      <c r="G7" s="122">
        <f>+'B1'!V55+'B2'!V55+'B3'!V55+'B4'!V55+'B5'!V55</f>
        <v>0</v>
      </c>
      <c r="H7" s="122">
        <f>+'B1'!W55+'B2'!W55+'B3'!W55+'B4'!W55+'B5'!W55</f>
        <v>0</v>
      </c>
      <c r="I7" s="122">
        <f>+'B1'!X55+'B2'!X55+'B3'!X55+'B4'!X55+'B5'!X55</f>
        <v>0</v>
      </c>
      <c r="J7" s="122">
        <f>+'B1'!Y55+'B2'!Y55+'B3'!Y55+'B4'!Y55+'B5'!Y55</f>
        <v>0</v>
      </c>
      <c r="K7" s="122">
        <f>+'B1'!Z55+'B2'!Z55+'B3'!Z55+'B4'!Z55+'B5'!Z55</f>
        <v>0</v>
      </c>
      <c r="L7" s="122">
        <f>+'B1'!AA55+'B2'!AA55+'B3'!AA55+'B4'!AA55+'B5'!AA55</f>
        <v>0</v>
      </c>
      <c r="M7" s="122">
        <f>+'B1'!AB55+'B2'!AB55+'B3'!AB55+'B4'!AB55+'B5'!AB55</f>
        <v>0</v>
      </c>
      <c r="N7" s="174">
        <f t="shared" ref="N7:N15" si="1">SUM(D7:M7)</f>
        <v>0</v>
      </c>
    </row>
    <row r="8" spans="1:41" x14ac:dyDescent="0.2">
      <c r="B8" s="190" t="s">
        <v>76</v>
      </c>
      <c r="C8" s="151"/>
      <c r="D8" s="146">
        <f>+'B1'!S56+'B2'!S56+'B3'!S56+'B4'!S56+'B5'!S56</f>
        <v>0</v>
      </c>
      <c r="E8" s="146">
        <f>+'B1'!T56+'B2'!T56+'B3'!T56+'B4'!T56+'B5'!T56</f>
        <v>931200</v>
      </c>
      <c r="F8" s="146">
        <f>+'B1'!U56+'B2'!U56+'B3'!U56+'B4'!U56+'B5'!U56</f>
        <v>959700</v>
      </c>
      <c r="G8" s="146">
        <f>+'B1'!V56+'B2'!V56+'B3'!V56+'B4'!V56+'B5'!V56</f>
        <v>990000</v>
      </c>
      <c r="H8" s="146">
        <f>+'B1'!W56+'B2'!W56+'B3'!W56+'B4'!W56+'B5'!W56</f>
        <v>423000</v>
      </c>
      <c r="I8" s="146">
        <f>+'B1'!X56+'B2'!X56+'B3'!X56+'B4'!X56+'B5'!X56</f>
        <v>0</v>
      </c>
      <c r="J8" s="146">
        <f>+'B1'!Y56+'B2'!Y56+'B3'!Y56+'B4'!Y56+'B5'!Y56</f>
        <v>0</v>
      </c>
      <c r="K8" s="146">
        <f>+'B1'!Z56+'B2'!Z56+'B3'!Z56+'B4'!Z56+'B5'!Z56</f>
        <v>0</v>
      </c>
      <c r="L8" s="146">
        <f>+'B1'!AA56+'B2'!AA56+'B3'!AA56+'B4'!AA56+'B5'!AA56</f>
        <v>0</v>
      </c>
      <c r="M8" s="146">
        <f>+'B1'!AB56+'B2'!AB56+'B3'!AB56+'B4'!AB56+'B5'!AB56</f>
        <v>0</v>
      </c>
      <c r="N8" s="175">
        <f t="shared" si="1"/>
        <v>3303900</v>
      </c>
    </row>
    <row r="9" spans="1:41" x14ac:dyDescent="0.2">
      <c r="B9" s="190" t="s">
        <v>77</v>
      </c>
      <c r="C9" s="151"/>
      <c r="D9" s="146">
        <f>+'B1'!S57+'B2'!S57+'B3'!S57+'B4'!S57+'B5'!S57</f>
        <v>0</v>
      </c>
      <c r="E9" s="146">
        <f>+'B1'!T57+'B2'!T57+'B3'!T57+'B4'!T57+'B5'!T57</f>
        <v>145000</v>
      </c>
      <c r="F9" s="146">
        <f>+'B1'!U57+'B2'!U57+'B3'!U57+'B4'!U57+'B5'!U57</f>
        <v>165000</v>
      </c>
      <c r="G9" s="146">
        <f>+'B1'!V57+'B2'!V57+'B3'!V57+'B4'!V57+'B5'!V57</f>
        <v>145000</v>
      </c>
      <c r="H9" s="146">
        <f>+'B1'!W57+'B2'!W57+'B3'!W57+'B4'!W57+'B5'!W57</f>
        <v>162500</v>
      </c>
      <c r="I9" s="146">
        <f>+'B1'!X57+'B2'!X57+'B3'!X57+'B4'!X57+'B5'!X57</f>
        <v>0</v>
      </c>
      <c r="J9" s="146">
        <f>+'B1'!Y57+'B2'!Y57+'B3'!Y57+'B4'!Y57+'B5'!Y57</f>
        <v>0</v>
      </c>
      <c r="K9" s="146">
        <f>+'B1'!Z57+'B2'!Z57+'B3'!Z57+'B4'!Z57+'B5'!Z57</f>
        <v>0</v>
      </c>
      <c r="L9" s="146">
        <f>+'B1'!AA57+'B2'!AA57+'B3'!AA57+'B4'!AA57+'B5'!AA57</f>
        <v>0</v>
      </c>
      <c r="M9" s="146">
        <f>+'B1'!AB57+'B2'!AB57+'B3'!AB57+'B4'!AB57+'B5'!AB57</f>
        <v>0</v>
      </c>
      <c r="N9" s="175">
        <f t="shared" si="1"/>
        <v>617500</v>
      </c>
    </row>
    <row r="10" spans="1:41" x14ac:dyDescent="0.2">
      <c r="B10" s="190" t="s">
        <v>78</v>
      </c>
      <c r="C10" s="151"/>
      <c r="D10" s="146">
        <f>+'B1'!S58+'B2'!S58+'B3'!S58+'B4'!S58+'B5'!S58</f>
        <v>0</v>
      </c>
      <c r="E10" s="146">
        <f>+'B1'!T58+'B2'!T58+'B3'!T58+'B4'!T58+'B5'!T58</f>
        <v>1076200</v>
      </c>
      <c r="F10" s="146">
        <f>+'B1'!U58+'B2'!U58+'B3'!U58+'B4'!U58+'B5'!U58</f>
        <v>1124700</v>
      </c>
      <c r="G10" s="146">
        <f>+'B1'!V58+'B2'!V58+'B3'!V58+'B4'!V58+'B5'!V58</f>
        <v>1135000</v>
      </c>
      <c r="H10" s="146">
        <f>+'B1'!W58+'B2'!W58+'B3'!W58+'B4'!W58+'B5'!W58</f>
        <v>585500</v>
      </c>
      <c r="I10" s="146">
        <f>+'B1'!X58+'B2'!X58+'B3'!X58+'B4'!X58+'B5'!X58</f>
        <v>0</v>
      </c>
      <c r="J10" s="146">
        <f>+'B1'!Y58+'B2'!Y58+'B3'!Y58+'B4'!Y58+'B5'!Y58</f>
        <v>0</v>
      </c>
      <c r="K10" s="146">
        <f>+'B1'!Z58+'B2'!Z58+'B3'!Z58+'B4'!Z58+'B5'!Z58</f>
        <v>0</v>
      </c>
      <c r="L10" s="146">
        <f>+'B1'!AA58+'B2'!AA58+'B3'!AA58+'B4'!AA58+'B5'!AA58</f>
        <v>0</v>
      </c>
      <c r="M10" s="146">
        <f>+'B1'!AB58+'B2'!AB58+'B3'!AB58+'B4'!AB58+'B5'!AB58</f>
        <v>0</v>
      </c>
      <c r="N10" s="175">
        <f t="shared" si="1"/>
        <v>3921400</v>
      </c>
    </row>
    <row r="11" spans="1:41" x14ac:dyDescent="0.2">
      <c r="B11" s="191" t="s">
        <v>0</v>
      </c>
      <c r="C11" s="119"/>
      <c r="D11" s="21">
        <f>+'B1'!S59+'B2'!S59+'B3'!S59+'B4'!S59+'B5'!S59</f>
        <v>0</v>
      </c>
      <c r="E11" s="21">
        <f>+'B1'!T59+'B2'!T59+'B3'!T59+'B4'!T59+'B5'!T59</f>
        <v>269050</v>
      </c>
      <c r="F11" s="21">
        <f>+'B1'!U59+'B2'!U59+'B3'!U59+'B4'!U59+'B5'!U59</f>
        <v>281175</v>
      </c>
      <c r="G11" s="21">
        <f>+'B1'!V59+'B2'!V59+'B3'!V59+'B4'!V59+'B5'!V59</f>
        <v>283750</v>
      </c>
      <c r="H11" s="21">
        <f>+'B1'!W59+'B2'!W59+'B3'!W59+'B4'!W59+'B5'!W59</f>
        <v>146375</v>
      </c>
      <c r="I11" s="21">
        <f>+'B1'!X59+'B2'!X59+'B3'!X59+'B4'!X59+'B5'!X59</f>
        <v>0</v>
      </c>
      <c r="J11" s="21">
        <f>+'B1'!Y59+'B2'!Y59+'B3'!Y59+'B4'!Y59+'B5'!Y59</f>
        <v>0</v>
      </c>
      <c r="K11" s="21">
        <f>+'B1'!Z59+'B2'!Z59+'B3'!Z59+'B4'!Z59+'B5'!Z59</f>
        <v>0</v>
      </c>
      <c r="L11" s="21">
        <f>+'B1'!AA59+'B2'!AA59+'B3'!AA59+'B4'!AA59+'B5'!AA59</f>
        <v>0</v>
      </c>
      <c r="M11" s="21">
        <f>+'B1'!AB59+'B2'!AB59+'B3'!AB59+'B4'!AB59+'B5'!AB59</f>
        <v>0</v>
      </c>
      <c r="N11" s="175">
        <f t="shared" si="1"/>
        <v>980350</v>
      </c>
    </row>
    <row r="12" spans="1:41" x14ac:dyDescent="0.2">
      <c r="B12" s="192" t="s">
        <v>103</v>
      </c>
      <c r="C12" s="119"/>
      <c r="D12" s="21">
        <f>+'B1'!S60+'B2'!S60+'B3'!S60+'B4'!S60+'B5'!S60</f>
        <v>0</v>
      </c>
      <c r="E12" s="21">
        <f>+'B1'!T60+'B2'!T60+'B3'!T60+'B4'!T60+'B5'!T60</f>
        <v>0</v>
      </c>
      <c r="F12" s="21">
        <f>+'B1'!U60+'B2'!U60+'B3'!U60+'B4'!U60+'B5'!U60</f>
        <v>0</v>
      </c>
      <c r="G12" s="21">
        <f>+'B1'!V60+'B2'!V60+'B3'!V60+'B4'!V60+'B5'!V60</f>
        <v>0</v>
      </c>
      <c r="H12" s="21">
        <f>+'B1'!W60+'B2'!W60+'B3'!W60+'B4'!W60+'B5'!W60</f>
        <v>0</v>
      </c>
      <c r="I12" s="21">
        <f>+'B1'!X60+'B2'!X60+'B3'!X60+'B4'!X60+'B5'!X60</f>
        <v>0</v>
      </c>
      <c r="J12" s="21">
        <f>+'B1'!Y60+'B2'!Y60+'B3'!Y60+'B4'!Y60+'B5'!Y60</f>
        <v>0</v>
      </c>
      <c r="K12" s="21">
        <f>+'B1'!Z60+'B2'!Z60+'B3'!Z60+'B4'!Z60+'B5'!Z60</f>
        <v>0</v>
      </c>
      <c r="L12" s="21">
        <f>+'B1'!AA60+'B2'!AA60+'B3'!AA60+'B4'!AA60+'B5'!AA60</f>
        <v>0</v>
      </c>
      <c r="M12" s="21">
        <f>+'B1'!AB60+'B2'!AB60+'B3'!AB60+'B4'!AB60+'B5'!AB60</f>
        <v>0</v>
      </c>
      <c r="N12" s="175">
        <f t="shared" si="1"/>
        <v>0</v>
      </c>
    </row>
    <row r="13" spans="1:41" x14ac:dyDescent="0.2">
      <c r="B13" s="192" t="s">
        <v>108</v>
      </c>
      <c r="C13" s="119"/>
      <c r="D13" s="21">
        <f>+'B1'!S61+'B2'!S61+'B3'!S61+'B4'!S61+'B5'!S61</f>
        <v>0</v>
      </c>
      <c r="E13" s="21">
        <f>+'B1'!T61+'B2'!T61+'B3'!T61+'B4'!T61+'B5'!T61</f>
        <v>0</v>
      </c>
      <c r="F13" s="21">
        <f>+'B1'!U61+'B2'!U61+'B3'!U61+'B4'!U61+'B5'!U61</f>
        <v>0</v>
      </c>
      <c r="G13" s="21">
        <f>+'B1'!V61+'B2'!V61+'B3'!V61+'B4'!V61+'B5'!V61</f>
        <v>0</v>
      </c>
      <c r="H13" s="21">
        <f>+'B1'!W61+'B2'!W61+'B3'!W61+'B4'!W61+'B5'!W61</f>
        <v>0</v>
      </c>
      <c r="I13" s="21">
        <f>+'B1'!X61+'B2'!X61+'B3'!X61+'B4'!X61+'B5'!X61</f>
        <v>0</v>
      </c>
      <c r="J13" s="21">
        <f>+'B1'!Y61+'B2'!Y61+'B3'!Y61+'B4'!Y61+'B5'!Y61</f>
        <v>0</v>
      </c>
      <c r="K13" s="21">
        <f>+'B1'!Z61+'B2'!Z61+'B3'!Z61+'B4'!Z61+'B5'!Z61</f>
        <v>0</v>
      </c>
      <c r="L13" s="21">
        <f>+'B1'!AA61+'B2'!AA61+'B3'!AA61+'B4'!AA61+'B5'!AA61</f>
        <v>0</v>
      </c>
      <c r="M13" s="21">
        <f>+'B1'!AB61+'B2'!AB61+'B3'!AB61+'B4'!AB61+'B5'!AB61</f>
        <v>0</v>
      </c>
      <c r="N13" s="175">
        <f t="shared" si="1"/>
        <v>0</v>
      </c>
    </row>
    <row r="14" spans="1:41" x14ac:dyDescent="0.2">
      <c r="B14" s="191" t="s">
        <v>545</v>
      </c>
      <c r="C14" s="119"/>
      <c r="D14" s="21">
        <f>+'B1'!S62+'B2'!S62+'B3'!S62+'B4'!S62+'B5'!S62</f>
        <v>0</v>
      </c>
      <c r="E14" s="21">
        <f>+'B1'!T62+'B2'!T62+'B3'!T62+'B4'!T62+'B5'!T62</f>
        <v>0</v>
      </c>
      <c r="F14" s="21">
        <f>+'B1'!U62+'B2'!U62+'B3'!U62+'B4'!U62+'B5'!U62</f>
        <v>0</v>
      </c>
      <c r="G14" s="21">
        <f>+'B1'!V62+'B2'!V62+'B3'!V62+'B4'!V62+'B5'!V62</f>
        <v>0</v>
      </c>
      <c r="H14" s="21">
        <f>+'B1'!W62+'B2'!W62+'B3'!W62+'B4'!W62+'B5'!W62</f>
        <v>0</v>
      </c>
      <c r="I14" s="21">
        <f>+'B1'!X62+'B2'!X62+'B3'!X62+'B4'!X62+'B5'!X62</f>
        <v>0</v>
      </c>
      <c r="J14" s="21">
        <f>+'B1'!Y62+'B2'!Y62+'B3'!Y62+'B4'!Y62+'B5'!Y62</f>
        <v>0</v>
      </c>
      <c r="K14" s="21">
        <f>+'B1'!Z62+'B2'!Z62+'B3'!Z62+'B4'!Z62+'B5'!Z62</f>
        <v>0</v>
      </c>
      <c r="L14" s="21">
        <f>+'B1'!AA62+'B2'!AA62+'B3'!AA62+'B4'!AA62+'B5'!AA62</f>
        <v>0</v>
      </c>
      <c r="M14" s="21">
        <f>+'B1'!AB62+'B2'!AB62+'B3'!AB62+'B4'!AB62+'B5'!AB62</f>
        <v>0</v>
      </c>
      <c r="N14" s="175">
        <f t="shared" si="1"/>
        <v>0</v>
      </c>
    </row>
    <row r="15" spans="1:41" ht="15" thickBot="1" x14ac:dyDescent="0.25">
      <c r="B15" s="193" t="s">
        <v>101</v>
      </c>
      <c r="C15" s="194"/>
      <c r="D15" s="152">
        <f>+SUM(D10:D14)</f>
        <v>0</v>
      </c>
      <c r="E15" s="152">
        <f t="shared" ref="E15:K15" si="2">+SUM(E10:E14)</f>
        <v>1345250</v>
      </c>
      <c r="F15" s="152">
        <f t="shared" si="2"/>
        <v>1405875</v>
      </c>
      <c r="G15" s="152">
        <f t="shared" si="2"/>
        <v>1418750</v>
      </c>
      <c r="H15" s="152">
        <f t="shared" si="2"/>
        <v>731875</v>
      </c>
      <c r="I15" s="152">
        <f t="shared" si="2"/>
        <v>0</v>
      </c>
      <c r="J15" s="152">
        <f t="shared" si="2"/>
        <v>0</v>
      </c>
      <c r="K15" s="152">
        <f t="shared" si="2"/>
        <v>0</v>
      </c>
      <c r="L15" s="152">
        <f t="shared" ref="L15:M15" si="3">+SUM(L10:L14)</f>
        <v>0</v>
      </c>
      <c r="M15" s="152">
        <f t="shared" si="3"/>
        <v>0</v>
      </c>
      <c r="N15" s="176">
        <f t="shared" si="1"/>
        <v>4901750</v>
      </c>
    </row>
    <row r="16" spans="1:41" ht="15" thickBot="1" x14ac:dyDescent="0.25">
      <c r="B16" s="23"/>
      <c r="C16" s="16"/>
      <c r="D16" s="16"/>
      <c r="E16" s="177"/>
      <c r="F16" s="177"/>
      <c r="G16" s="177"/>
      <c r="H16" s="177"/>
      <c r="I16" s="177"/>
      <c r="J16" s="177"/>
      <c r="K16" s="177"/>
      <c r="L16" s="177"/>
      <c r="M16" s="177"/>
      <c r="N16" s="177"/>
    </row>
    <row r="17" spans="2:14" ht="18" x14ac:dyDescent="0.25">
      <c r="B17" s="186" t="s">
        <v>605</v>
      </c>
      <c r="C17" s="130"/>
      <c r="D17" s="130"/>
      <c r="E17" s="130"/>
      <c r="F17" s="130"/>
      <c r="G17" s="130"/>
      <c r="H17" s="130"/>
      <c r="I17" s="130"/>
      <c r="J17" s="130"/>
      <c r="K17" s="130"/>
      <c r="L17" s="130"/>
      <c r="M17" s="130"/>
      <c r="N17" s="172"/>
    </row>
    <row r="18" spans="2:14" x14ac:dyDescent="0.2">
      <c r="B18" s="161"/>
      <c r="C18" s="16"/>
      <c r="D18" s="16"/>
      <c r="E18" s="195"/>
      <c r="F18" s="195"/>
      <c r="G18" s="195"/>
      <c r="H18" s="195"/>
      <c r="I18" s="195"/>
      <c r="J18" s="195"/>
      <c r="K18" s="195"/>
      <c r="L18" s="195"/>
      <c r="M18" s="195"/>
      <c r="N18" s="178"/>
    </row>
    <row r="19" spans="2:14" x14ac:dyDescent="0.2">
      <c r="B19" s="161" t="s">
        <v>22</v>
      </c>
      <c r="C19" s="4"/>
      <c r="D19" s="8">
        <f>+D5</f>
        <v>2025</v>
      </c>
      <c r="E19" s="8">
        <f t="shared" ref="E19:M19" si="4">+E5</f>
        <v>2026</v>
      </c>
      <c r="F19" s="8">
        <f t="shared" si="4"/>
        <v>2027</v>
      </c>
      <c r="G19" s="8">
        <f t="shared" si="4"/>
        <v>2028</v>
      </c>
      <c r="H19" s="8">
        <f t="shared" si="4"/>
        <v>2029</v>
      </c>
      <c r="I19" s="8">
        <f t="shared" si="4"/>
        <v>2030</v>
      </c>
      <c r="J19" s="8">
        <f t="shared" si="4"/>
        <v>2031</v>
      </c>
      <c r="K19" s="8">
        <f t="shared" si="4"/>
        <v>2032</v>
      </c>
      <c r="L19" s="8">
        <f t="shared" si="4"/>
        <v>2033</v>
      </c>
      <c r="M19" s="8">
        <f t="shared" si="4"/>
        <v>2034</v>
      </c>
      <c r="N19" s="133" t="s">
        <v>34</v>
      </c>
    </row>
    <row r="20" spans="2:14" x14ac:dyDescent="0.2">
      <c r="B20" s="189" t="s">
        <v>74</v>
      </c>
      <c r="C20" s="120"/>
      <c r="D20" s="28">
        <f>+'B1'!S70+'B2'!S70+'B3'!S70+'B4'!S70+'B5'!S70</f>
        <v>0</v>
      </c>
      <c r="E20" s="120">
        <f>+'B1'!T70+'B2'!T70+'B3'!T70+'B4'!T70+'B5'!T70</f>
        <v>931200</v>
      </c>
      <c r="F20" s="28">
        <f>+'B1'!U70+'B2'!U70+'B3'!U70+'B4'!U70+'B5'!U70</f>
        <v>959700</v>
      </c>
      <c r="G20" s="120">
        <f>+'B1'!V70+'B2'!V70+'B3'!V70+'B4'!V70+'B5'!V70</f>
        <v>990000</v>
      </c>
      <c r="H20" s="28">
        <f>+'B1'!W70+'B2'!W70+'B3'!W70+'B4'!W70+'B5'!W70</f>
        <v>423000</v>
      </c>
      <c r="I20" s="120">
        <f>+'B1'!X70+'B2'!X70+'B3'!X70+'B4'!X70+'B5'!X70</f>
        <v>0</v>
      </c>
      <c r="J20" s="28">
        <f>+'B1'!Y70+'B2'!Y70+'B3'!Y70+'B4'!Y70+'B5'!Y70</f>
        <v>0</v>
      </c>
      <c r="K20" s="28">
        <f>+'B1'!Z70+'B2'!Z70+'B3'!Z70+'B4'!Z70+'B5'!Z70</f>
        <v>0</v>
      </c>
      <c r="L20" s="28">
        <f>+'B1'!AA70+'B2'!AA70+'B3'!AA70+'B4'!AA70+'B5'!AA70</f>
        <v>0</v>
      </c>
      <c r="M20" s="28">
        <f>+'B1'!AB70+'B2'!AB70+'B3'!AB70+'B4'!AB70+'B5'!AB70</f>
        <v>0</v>
      </c>
      <c r="N20" s="179">
        <f>SUM(D20:M20)</f>
        <v>3303900</v>
      </c>
    </row>
    <row r="21" spans="2:14" x14ac:dyDescent="0.2">
      <c r="B21" s="161" t="s">
        <v>75</v>
      </c>
      <c r="C21" s="121"/>
      <c r="D21" s="122">
        <f>+'B1'!S71+'B2'!S71+'B3'!S71+'B4'!S71+'B5'!S71</f>
        <v>0</v>
      </c>
      <c r="E21" s="121">
        <f>+'B1'!T71+'B2'!T71+'B3'!T71+'B4'!T71+'B5'!T71</f>
        <v>0</v>
      </c>
      <c r="F21" s="122">
        <f>+'B1'!U71+'B2'!U71+'B3'!U71+'B4'!U71+'B5'!U71</f>
        <v>0</v>
      </c>
      <c r="G21" s="121">
        <f>+'B1'!V71+'B2'!V71+'B3'!V71+'B4'!V71+'B5'!V71</f>
        <v>0</v>
      </c>
      <c r="H21" s="122">
        <f>+'B1'!W71+'B2'!W71+'B3'!W71+'B4'!W71+'B5'!W71</f>
        <v>0</v>
      </c>
      <c r="I21" s="121">
        <f>+'B1'!X71+'B2'!X71+'B3'!X71+'B4'!X71+'B5'!X71</f>
        <v>0</v>
      </c>
      <c r="J21" s="122">
        <f>+'B1'!Y71+'B2'!Y71+'B3'!Y71+'B4'!Y71+'B5'!Y71</f>
        <v>0</v>
      </c>
      <c r="K21" s="122">
        <f>+'B1'!Z71+'B2'!Z71+'B3'!Z71+'B4'!Z71+'B5'!Z71</f>
        <v>0</v>
      </c>
      <c r="L21" s="122">
        <f>+'B1'!AA71+'B2'!AA71+'B3'!AA71+'B4'!AA71+'B5'!AA71</f>
        <v>0</v>
      </c>
      <c r="M21" s="122">
        <f>+'B1'!AB71+'B2'!AB71+'B3'!AB71+'B4'!AB71+'B5'!AB71</f>
        <v>0</v>
      </c>
      <c r="N21" s="180">
        <f t="shared" ref="N21:N29" si="5">SUM(D21:M21)</f>
        <v>0</v>
      </c>
    </row>
    <row r="22" spans="2:14" x14ac:dyDescent="0.2">
      <c r="B22" s="190" t="s">
        <v>76</v>
      </c>
      <c r="C22" s="151"/>
      <c r="D22" s="146">
        <f>+'B1'!S72+'B2'!S72+'B3'!S72+'B4'!S72+'B5'!S72</f>
        <v>0</v>
      </c>
      <c r="E22" s="146">
        <f>+'B1'!T72+'B2'!T72+'B3'!T72+'B4'!T72+'B5'!T72</f>
        <v>931200</v>
      </c>
      <c r="F22" s="146">
        <f>+'B1'!U72+'B2'!U72+'B3'!U72+'B4'!U72+'B5'!U72</f>
        <v>959700</v>
      </c>
      <c r="G22" s="146">
        <f>+'B1'!V72+'B2'!V72+'B3'!V72+'B4'!V72+'B5'!V72</f>
        <v>990000</v>
      </c>
      <c r="H22" s="146">
        <f>+'B1'!W72+'B2'!W72+'B3'!W72+'B4'!W72+'B5'!W72</f>
        <v>423000</v>
      </c>
      <c r="I22" s="146">
        <f>+'B1'!X72+'B2'!X72+'B3'!X72+'B4'!X72+'B5'!X72</f>
        <v>0</v>
      </c>
      <c r="J22" s="151">
        <f>+'B1'!Y72+'B2'!Y72+'B3'!Y72+'B4'!Y72+'B5'!Y72</f>
        <v>0</v>
      </c>
      <c r="K22" s="146">
        <f>+'B1'!Z72+'B2'!Z72+'B3'!Z72+'B4'!Z72+'B5'!Z72</f>
        <v>0</v>
      </c>
      <c r="L22" s="146">
        <f>+'B1'!AA72+'B2'!AA72+'B3'!AA72+'B4'!AA72+'B5'!AA72</f>
        <v>0</v>
      </c>
      <c r="M22" s="146">
        <f>+'B1'!AB72+'B2'!AB72+'B3'!AB72+'B4'!AB72+'B5'!AB72</f>
        <v>0</v>
      </c>
      <c r="N22" s="181">
        <f t="shared" si="5"/>
        <v>3303900</v>
      </c>
    </row>
    <row r="23" spans="2:14" x14ac:dyDescent="0.2">
      <c r="B23" s="190" t="s">
        <v>77</v>
      </c>
      <c r="C23" s="151"/>
      <c r="D23" s="146">
        <f>+'B1'!S73+'B2'!S73+'B3'!S73+'B4'!S73+'B5'!S73</f>
        <v>0</v>
      </c>
      <c r="E23" s="196">
        <f>+'B1'!T73+'B2'!T73+'B3'!T73+'B4'!T73+'B5'!T73</f>
        <v>145000</v>
      </c>
      <c r="F23" s="196">
        <f>+'B1'!U73+'B2'!U73+'B3'!U73+'B4'!U73+'B5'!U73</f>
        <v>165000</v>
      </c>
      <c r="G23" s="196">
        <f>+'B1'!V73+'B2'!V73+'B3'!V73+'B4'!V73+'B5'!V73</f>
        <v>145000</v>
      </c>
      <c r="H23" s="196">
        <f>+'B1'!W73+'B2'!W73+'B3'!W73+'B4'!W73+'B5'!W73</f>
        <v>162500</v>
      </c>
      <c r="I23" s="196">
        <f>+'B1'!X73+'B2'!X73+'B3'!X73+'B4'!X73+'B5'!X73</f>
        <v>0</v>
      </c>
      <c r="J23" s="197">
        <f>+'B1'!Y73+'B2'!Y73+'B3'!Y73+'B4'!Y73+'B5'!Y73</f>
        <v>0</v>
      </c>
      <c r="K23" s="196">
        <f>+'B1'!Z73+'B2'!Z73+'B3'!Z73+'B4'!Z73+'B5'!Z73</f>
        <v>0</v>
      </c>
      <c r="L23" s="196">
        <f>+'B1'!AA73+'B2'!AA73+'B3'!AA73+'B4'!AA73+'B5'!AA73</f>
        <v>0</v>
      </c>
      <c r="M23" s="196">
        <f>+'B1'!AB73+'B2'!AB73+'B3'!AB73+'B4'!AB73+'B5'!AB73</f>
        <v>0</v>
      </c>
      <c r="N23" s="181">
        <f t="shared" si="5"/>
        <v>617500</v>
      </c>
    </row>
    <row r="24" spans="2:14" x14ac:dyDescent="0.2">
      <c r="B24" s="190" t="s">
        <v>78</v>
      </c>
      <c r="C24" s="151"/>
      <c r="D24" s="146">
        <f>+'B1'!S74+'B2'!S74+'B3'!S74+'B4'!S74+'B5'!S74</f>
        <v>0</v>
      </c>
      <c r="E24" s="196">
        <f>+'B1'!T74+'B2'!T74+'B3'!T74+'B4'!T74+'B5'!T74</f>
        <v>1076200</v>
      </c>
      <c r="F24" s="196">
        <f>+'B1'!U74+'B2'!U74+'B3'!U74+'B4'!U74+'B5'!U74</f>
        <v>1124700</v>
      </c>
      <c r="G24" s="196">
        <f>+'B1'!V74+'B2'!V74+'B3'!V74+'B4'!V74+'B5'!V74</f>
        <v>1135000</v>
      </c>
      <c r="H24" s="196">
        <f>+'B1'!W74+'B2'!W74+'B3'!W74+'B4'!W74+'B5'!W74</f>
        <v>585500</v>
      </c>
      <c r="I24" s="196">
        <f>+'B1'!X74+'B2'!X74+'B3'!X74+'B4'!X74+'B5'!X74</f>
        <v>0</v>
      </c>
      <c r="J24" s="197">
        <f>+'B1'!Y74+'B2'!Y74+'B3'!Y74+'B4'!Y74+'B5'!Y74</f>
        <v>0</v>
      </c>
      <c r="K24" s="196">
        <f>+'B1'!Z74+'B2'!Z74+'B3'!Z74+'B4'!Z74+'B5'!Z74</f>
        <v>0</v>
      </c>
      <c r="L24" s="196">
        <f>+'B1'!AA74+'B2'!AA74+'B3'!AA74+'B4'!AA74+'B5'!AA74</f>
        <v>0</v>
      </c>
      <c r="M24" s="196">
        <f>+'B1'!AB74+'B2'!AB74+'B3'!AB74+'B4'!AB74+'B5'!AB74</f>
        <v>0</v>
      </c>
      <c r="N24" s="181">
        <f t="shared" si="5"/>
        <v>3921400</v>
      </c>
    </row>
    <row r="25" spans="2:14" x14ac:dyDescent="0.2">
      <c r="B25" s="191" t="s">
        <v>0</v>
      </c>
      <c r="C25" s="119"/>
      <c r="D25" s="21">
        <f>+'B1'!S75+'B2'!S75+'B3'!S75+'B4'!S75+'B5'!S75</f>
        <v>0</v>
      </c>
      <c r="E25" s="198">
        <f>+'B1'!T75+'B2'!T75+'B3'!T75+'B4'!T75+'B5'!T75</f>
        <v>269050</v>
      </c>
      <c r="F25" s="198">
        <f>+'B1'!U75+'B2'!U75+'B3'!U75+'B4'!U75+'B5'!U75</f>
        <v>281175</v>
      </c>
      <c r="G25" s="198">
        <f>+'B1'!V75+'B2'!V75+'B3'!V75+'B4'!V75+'B5'!V75</f>
        <v>283750</v>
      </c>
      <c r="H25" s="198">
        <f>+'B1'!W75+'B2'!W75+'B3'!W75+'B4'!W75+'B5'!W75</f>
        <v>146375</v>
      </c>
      <c r="I25" s="198">
        <f>+'B1'!X75+'B2'!X75+'B3'!X75+'B4'!X75+'B5'!X75</f>
        <v>0</v>
      </c>
      <c r="J25" s="199">
        <f>+'B1'!Y75+'B2'!Y75+'B3'!Y75+'B4'!Y75+'B5'!Y75</f>
        <v>0</v>
      </c>
      <c r="K25" s="198">
        <f>+'B1'!Z75+'B2'!Z75+'B3'!Z75+'B4'!Z75+'B5'!Z75</f>
        <v>0</v>
      </c>
      <c r="L25" s="198">
        <f>+'B1'!AA75+'B2'!AA75+'B3'!AA75+'B4'!AA75+'B5'!AA75</f>
        <v>0</v>
      </c>
      <c r="M25" s="198">
        <f>+'B1'!AB75+'B2'!AB75+'B3'!AB75+'B4'!AB75+'B5'!AB75</f>
        <v>0</v>
      </c>
      <c r="N25" s="181">
        <f t="shared" si="5"/>
        <v>980350</v>
      </c>
    </row>
    <row r="26" spans="2:14" x14ac:dyDescent="0.2">
      <c r="B26" s="192" t="s">
        <v>103</v>
      </c>
      <c r="C26" s="119"/>
      <c r="D26" s="21">
        <f>+'B1'!S76+'B2'!S76+'B3'!S76+'B4'!S76+'B5'!S76</f>
        <v>0</v>
      </c>
      <c r="E26" s="21">
        <f>+'B1'!T76+'B2'!T76+'B3'!T76+'B4'!T76+'B5'!T76</f>
        <v>0</v>
      </c>
      <c r="F26" s="21">
        <f>+'B1'!U76+'B2'!U76+'B3'!U76+'B4'!U76+'B5'!U76</f>
        <v>0</v>
      </c>
      <c r="G26" s="21">
        <f>+'B1'!V76+'B2'!V76+'B3'!V76+'B4'!V76+'B5'!V76</f>
        <v>0</v>
      </c>
      <c r="H26" s="21">
        <f>+'B1'!W76+'B2'!W76+'B3'!W76+'B4'!W76+'B5'!W76</f>
        <v>0</v>
      </c>
      <c r="I26" s="21">
        <f>+'B1'!X76+'B2'!X76+'B3'!X76+'B4'!X76+'B5'!X76</f>
        <v>0</v>
      </c>
      <c r="J26" s="119">
        <f>+'B1'!Y76+'B2'!Y76+'B3'!Y76+'B4'!Y76+'B5'!Y76</f>
        <v>0</v>
      </c>
      <c r="K26" s="21">
        <f>+'B1'!Z76+'B2'!Z76+'B3'!Z76+'B4'!Z76+'B5'!Z76</f>
        <v>0</v>
      </c>
      <c r="L26" s="21">
        <f>+'B1'!AA76+'B2'!AA76+'B3'!AA76+'B4'!AA76+'B5'!AA76</f>
        <v>0</v>
      </c>
      <c r="M26" s="21">
        <f>+'B1'!AB76+'B2'!AB76+'B3'!AB76+'B4'!AB76+'B5'!AB76</f>
        <v>0</v>
      </c>
      <c r="N26" s="181">
        <f t="shared" si="5"/>
        <v>0</v>
      </c>
    </row>
    <row r="27" spans="2:14" x14ac:dyDescent="0.2">
      <c r="B27" s="192" t="s">
        <v>108</v>
      </c>
      <c r="C27" s="119"/>
      <c r="D27" s="21">
        <f>+'B1'!S77+'B2'!S77+'B3'!S77+'B4'!S77+'B5'!S77</f>
        <v>0</v>
      </c>
      <c r="E27" s="21">
        <f>+'B1'!T77+'B2'!T77+'B3'!T77+'B4'!T77+'B5'!T77</f>
        <v>0</v>
      </c>
      <c r="F27" s="21">
        <f>+'B1'!U77+'B2'!U77+'B3'!U77+'B4'!U77+'B5'!U77</f>
        <v>0</v>
      </c>
      <c r="G27" s="21">
        <f>+'B1'!V77+'B2'!V77+'B3'!V77+'B4'!V77+'B5'!V77</f>
        <v>0</v>
      </c>
      <c r="H27" s="21">
        <f>+'B1'!W77+'B2'!W77+'B3'!W77+'B4'!W77+'B5'!W77</f>
        <v>0</v>
      </c>
      <c r="I27" s="21">
        <f>+'B1'!X77+'B2'!X77+'B3'!X77+'B4'!X77+'B5'!X77</f>
        <v>0</v>
      </c>
      <c r="J27" s="21">
        <f>+'B1'!Y77+'B2'!Y77+'B3'!Y77+'B4'!Y77+'B5'!Y77</f>
        <v>0</v>
      </c>
      <c r="K27" s="21">
        <f>+'B1'!Z77+'B2'!Z77+'B3'!Z77+'B4'!Z77+'B5'!Z77</f>
        <v>0</v>
      </c>
      <c r="L27" s="21">
        <f>+'B1'!AA77+'B2'!AA77+'B3'!AA77+'B4'!AA77+'B5'!AA77</f>
        <v>0</v>
      </c>
      <c r="M27" s="21">
        <f>+'B1'!AB77+'B2'!AB77+'B3'!AB77+'B4'!AB77+'B5'!AB77</f>
        <v>0</v>
      </c>
      <c r="N27" s="181">
        <f t="shared" si="5"/>
        <v>0</v>
      </c>
    </row>
    <row r="28" spans="2:14" x14ac:dyDescent="0.2">
      <c r="B28" s="191" t="s">
        <v>545</v>
      </c>
      <c r="C28" s="119"/>
      <c r="D28" s="21">
        <f>+'B1'!S78+'B2'!S78+'B3'!S78+'B4'!S78+'B5'!S78</f>
        <v>0</v>
      </c>
      <c r="E28" s="21">
        <f>+'B1'!T78+'B2'!T78+'B3'!T78+'B4'!T78+'B5'!T78</f>
        <v>0</v>
      </c>
      <c r="F28" s="21">
        <f>+'B1'!U78+'B2'!U78+'B3'!U78+'B4'!U78+'B5'!U78</f>
        <v>0</v>
      </c>
      <c r="G28" s="21">
        <f>+'B1'!V78+'B2'!V78+'B3'!V78+'B4'!V78+'B5'!V78</f>
        <v>0</v>
      </c>
      <c r="H28" s="21">
        <f>+'B1'!W78+'B2'!W78+'B3'!W78+'B4'!W78+'B5'!W78</f>
        <v>0</v>
      </c>
      <c r="I28" s="21">
        <f>+'B1'!X78+'B2'!X78+'B3'!X78+'B4'!X78+'B5'!X78</f>
        <v>0</v>
      </c>
      <c r="J28" s="21">
        <f>+'B1'!Y78+'B2'!Y78+'B3'!Y78+'B4'!Y78+'B5'!Y78</f>
        <v>0</v>
      </c>
      <c r="K28" s="21">
        <f>+'B1'!Z78+'B2'!Z78+'B3'!Z78+'B4'!Z78+'B5'!Z78</f>
        <v>0</v>
      </c>
      <c r="L28" s="21">
        <f>+'B1'!AA78+'B2'!AA78+'B3'!AA78+'B4'!AA78+'B5'!AA78</f>
        <v>0</v>
      </c>
      <c r="M28" s="21">
        <f>+'B1'!AB78+'B2'!AB78+'B3'!AB78+'B4'!AB78+'B5'!AB78</f>
        <v>0</v>
      </c>
      <c r="N28" s="181">
        <f t="shared" si="5"/>
        <v>0</v>
      </c>
    </row>
    <row r="29" spans="2:14" ht="15" thickBot="1" x14ac:dyDescent="0.25">
      <c r="B29" s="193" t="s">
        <v>101</v>
      </c>
      <c r="C29" s="194"/>
      <c r="D29" s="152">
        <f>+SUM(D24:D28)</f>
        <v>0</v>
      </c>
      <c r="E29" s="152">
        <f t="shared" ref="E29:K29" si="6">+SUM(E24:E28)</f>
        <v>1345250</v>
      </c>
      <c r="F29" s="152">
        <f t="shared" si="6"/>
        <v>1405875</v>
      </c>
      <c r="G29" s="152">
        <f t="shared" si="6"/>
        <v>1418750</v>
      </c>
      <c r="H29" s="152">
        <f t="shared" si="6"/>
        <v>731875</v>
      </c>
      <c r="I29" s="152">
        <f t="shared" si="6"/>
        <v>0</v>
      </c>
      <c r="J29" s="152">
        <f t="shared" si="6"/>
        <v>0</v>
      </c>
      <c r="K29" s="152">
        <f t="shared" si="6"/>
        <v>0</v>
      </c>
      <c r="L29" s="152">
        <f t="shared" ref="L29:M29" si="7">+SUM(L24:L28)</f>
        <v>0</v>
      </c>
      <c r="M29" s="152">
        <f t="shared" si="7"/>
        <v>0</v>
      </c>
      <c r="N29" s="182">
        <f t="shared" si="5"/>
        <v>4901750</v>
      </c>
    </row>
    <row r="30" spans="2:14" ht="15" thickBot="1" x14ac:dyDescent="0.25">
      <c r="B30" s="23"/>
      <c r="C30" s="16"/>
      <c r="D30" s="16"/>
      <c r="E30" s="200"/>
      <c r="F30" s="200"/>
      <c r="G30" s="200"/>
      <c r="H30" s="200"/>
      <c r="I30" s="200"/>
      <c r="J30" s="200"/>
      <c r="K30" s="200"/>
      <c r="L30" s="200"/>
      <c r="M30" s="200"/>
      <c r="N30" s="183"/>
    </row>
    <row r="31" spans="2:14" ht="18" x14ac:dyDescent="0.25">
      <c r="B31" s="186" t="s">
        <v>606</v>
      </c>
      <c r="C31" s="201"/>
      <c r="D31" s="201"/>
      <c r="E31" s="201"/>
      <c r="F31" s="201"/>
      <c r="G31" s="201"/>
      <c r="H31" s="201"/>
      <c r="I31" s="201"/>
      <c r="J31" s="201"/>
      <c r="K31" s="201"/>
      <c r="L31" s="201"/>
      <c r="M31" s="201"/>
      <c r="N31" s="184"/>
    </row>
    <row r="32" spans="2:14" ht="18" x14ac:dyDescent="0.25">
      <c r="B32" s="202"/>
      <c r="C32" s="16"/>
      <c r="D32" s="16"/>
      <c r="E32" s="195"/>
      <c r="F32" s="195"/>
      <c r="G32" s="195"/>
      <c r="H32" s="195"/>
      <c r="I32" s="195"/>
      <c r="J32" s="195"/>
      <c r="K32" s="195"/>
      <c r="L32" s="195"/>
      <c r="M32" s="195"/>
      <c r="N32" s="178"/>
    </row>
    <row r="33" spans="2:14" x14ac:dyDescent="0.2">
      <c r="B33" s="161" t="s">
        <v>22</v>
      </c>
      <c r="C33" s="4"/>
      <c r="D33" s="8">
        <f>+D19</f>
        <v>2025</v>
      </c>
      <c r="E33" s="8">
        <f t="shared" ref="E33:M33" si="8">+E19</f>
        <v>2026</v>
      </c>
      <c r="F33" s="8">
        <f t="shared" si="8"/>
        <v>2027</v>
      </c>
      <c r="G33" s="8">
        <f t="shared" si="8"/>
        <v>2028</v>
      </c>
      <c r="H33" s="8">
        <f t="shared" si="8"/>
        <v>2029</v>
      </c>
      <c r="I33" s="8">
        <f t="shared" si="8"/>
        <v>2030</v>
      </c>
      <c r="J33" s="8">
        <f t="shared" si="8"/>
        <v>2031</v>
      </c>
      <c r="K33" s="8">
        <f t="shared" si="8"/>
        <v>2032</v>
      </c>
      <c r="L33" s="8">
        <f t="shared" si="8"/>
        <v>2033</v>
      </c>
      <c r="M33" s="8">
        <f t="shared" si="8"/>
        <v>2034</v>
      </c>
      <c r="N33" s="133" t="s">
        <v>34</v>
      </c>
    </row>
    <row r="34" spans="2:14" x14ac:dyDescent="0.2">
      <c r="B34" s="189" t="s">
        <v>74</v>
      </c>
      <c r="C34" s="120"/>
      <c r="D34" s="28">
        <f>+'B1'!S84+'B2'!S84+'B3'!S84+'B4'!S84+'B5'!S84</f>
        <v>0</v>
      </c>
      <c r="E34" s="120">
        <f>+'B1'!T84+'B2'!T84+'B3'!T84+'B4'!T84+'B5'!T84</f>
        <v>0</v>
      </c>
      <c r="F34" s="28">
        <f>+'B1'!U84+'B2'!U84+'B3'!U84+'B4'!U84+'B5'!U84</f>
        <v>0</v>
      </c>
      <c r="G34" s="120">
        <f>+'B1'!V84+'B2'!V84+'B3'!V84+'B4'!V84+'B5'!V84</f>
        <v>0</v>
      </c>
      <c r="H34" s="28">
        <f>+'B1'!W84+'B2'!W84+'B3'!W84+'B4'!W84+'B5'!W84</f>
        <v>0</v>
      </c>
      <c r="I34" s="120">
        <f>+'B1'!X84+'B2'!X84+'B3'!X84+'B4'!X84+'B5'!X84</f>
        <v>0</v>
      </c>
      <c r="J34" s="28">
        <f>+'B1'!Y84+'B2'!Y84+'B3'!Y84+'B4'!Y84+'B5'!Y84</f>
        <v>0</v>
      </c>
      <c r="K34" s="28">
        <f>+'B1'!Z84+'B2'!Z84+'B3'!Z84+'B4'!Z84+'B5'!Z84</f>
        <v>0</v>
      </c>
      <c r="L34" s="120">
        <f>+'B1'!AA84+'B2'!AA84+'B3'!AA84+'B4'!AA84+'B5'!AA84</f>
        <v>0</v>
      </c>
      <c r="M34" s="120">
        <f>+'B1'!AB84+'B2'!AB84+'B3'!AB84+'B4'!AB84+'B5'!AB84</f>
        <v>0</v>
      </c>
      <c r="N34" s="179">
        <f>SUM(D34:K34)</f>
        <v>0</v>
      </c>
    </row>
    <row r="35" spans="2:14" x14ac:dyDescent="0.2">
      <c r="B35" s="161" t="s">
        <v>75</v>
      </c>
      <c r="C35" s="121"/>
      <c r="D35" s="122">
        <f>+'B1'!S85+'B2'!S85+'B3'!S85+'B4'!S85+'B5'!S85</f>
        <v>0</v>
      </c>
      <c r="E35" s="121">
        <f>+'B1'!T85+'B2'!T85+'B3'!T85+'B4'!T85+'B5'!T85</f>
        <v>0</v>
      </c>
      <c r="F35" s="122">
        <f>+'B1'!U85+'B2'!U85+'B3'!U85+'B4'!U85+'B5'!U85</f>
        <v>0</v>
      </c>
      <c r="G35" s="121">
        <f>+'B1'!V85+'B2'!V85+'B3'!V85+'B4'!V85+'B5'!V85</f>
        <v>0</v>
      </c>
      <c r="H35" s="122">
        <f>+'B1'!W85+'B2'!W85+'B3'!W85+'B4'!W85+'B5'!W85</f>
        <v>0</v>
      </c>
      <c r="I35" s="121">
        <f>+'B1'!X85+'B2'!X85+'B3'!X85+'B4'!X85+'B5'!X85</f>
        <v>0</v>
      </c>
      <c r="J35" s="122">
        <f>+'B1'!Y85+'B2'!Y85+'B3'!Y85+'B4'!Y85+'B5'!Y85</f>
        <v>0</v>
      </c>
      <c r="K35" s="122">
        <f>+'B1'!Z85+'B2'!Z85+'B3'!Z85+'B4'!Z85+'B5'!Z85</f>
        <v>0</v>
      </c>
      <c r="L35" s="121">
        <f>+'B1'!AA85+'B2'!AA85+'B3'!AA85+'B4'!AA85+'B5'!AA85</f>
        <v>0</v>
      </c>
      <c r="M35" s="121">
        <f>+'B1'!AB85+'B2'!AB85+'B3'!AB85+'B4'!AB85+'B5'!AB85</f>
        <v>0</v>
      </c>
      <c r="N35" s="180">
        <f t="shared" ref="N35:N43" si="9">SUM(D35:K35)</f>
        <v>0</v>
      </c>
    </row>
    <row r="36" spans="2:14" x14ac:dyDescent="0.2">
      <c r="B36" s="190" t="s">
        <v>76</v>
      </c>
      <c r="C36" s="151"/>
      <c r="D36" s="146">
        <f>+'B1'!S86+'B2'!S86+'B3'!S86+'B4'!S86+'B5'!S86</f>
        <v>0</v>
      </c>
      <c r="E36" s="146">
        <f>+'B1'!T86+'B2'!T86+'B3'!T86+'B4'!T86+'B5'!T86</f>
        <v>0</v>
      </c>
      <c r="F36" s="146">
        <f>+'B1'!U86+'B2'!U86+'B3'!U86+'B4'!U86+'B5'!U86</f>
        <v>0</v>
      </c>
      <c r="G36" s="146">
        <f>+'B1'!V86+'B2'!V86+'B3'!V86+'B4'!V86+'B5'!V86</f>
        <v>0</v>
      </c>
      <c r="H36" s="146">
        <f>+'B1'!W86+'B2'!W86+'B3'!W86+'B4'!W86+'B5'!W86</f>
        <v>0</v>
      </c>
      <c r="I36" s="146">
        <f>+'B1'!X86+'B2'!X86+'B3'!X86+'B4'!X86+'B5'!X86</f>
        <v>0</v>
      </c>
      <c r="J36" s="151">
        <f>+'B1'!Y86+'B2'!Y86+'B3'!Y86+'B4'!Y86+'B5'!Y86</f>
        <v>0</v>
      </c>
      <c r="K36" s="146">
        <f>+'B1'!Z86+'B2'!Z86+'B3'!Z86+'B4'!Z86+'B5'!Z86</f>
        <v>0</v>
      </c>
      <c r="L36" s="151">
        <f>+'B1'!AA86+'B2'!AA86+'B3'!AA86+'B4'!AA86+'B5'!AA86</f>
        <v>0</v>
      </c>
      <c r="M36" s="151">
        <f>+'B1'!AB86+'B2'!AB86+'B3'!AB86+'B4'!AB86+'B5'!AB86</f>
        <v>0</v>
      </c>
      <c r="N36" s="181">
        <f t="shared" si="9"/>
        <v>0</v>
      </c>
    </row>
    <row r="37" spans="2:14" x14ac:dyDescent="0.2">
      <c r="B37" s="190" t="s">
        <v>77</v>
      </c>
      <c r="C37" s="151"/>
      <c r="D37" s="146">
        <f>+'B1'!S87+'B2'!S87+'B3'!S87+'B4'!S87+'B5'!S87</f>
        <v>0</v>
      </c>
      <c r="E37" s="196">
        <f>+'B1'!T87+'B2'!T87+'B3'!T87+'B4'!T87+'B5'!T87</f>
        <v>0</v>
      </c>
      <c r="F37" s="196">
        <f>+'B1'!U87+'B2'!U87+'B3'!U87+'B4'!U87+'B5'!U87</f>
        <v>0</v>
      </c>
      <c r="G37" s="196">
        <f>+'B1'!V87+'B2'!V87+'B3'!V87+'B4'!V87+'B5'!V87</f>
        <v>0</v>
      </c>
      <c r="H37" s="196">
        <f>+'B1'!W87+'B2'!W87+'B3'!W87+'B4'!W87+'B5'!W87</f>
        <v>0</v>
      </c>
      <c r="I37" s="196">
        <f>+'B1'!X87+'B2'!X87+'B3'!X87+'B4'!X87+'B5'!X87</f>
        <v>0</v>
      </c>
      <c r="J37" s="197">
        <f>+'B1'!Y87+'B2'!Y87+'B3'!Y87+'B4'!Y87+'B5'!Y87</f>
        <v>0</v>
      </c>
      <c r="K37" s="196">
        <f>+'B1'!Z87+'B2'!Z87+'B3'!Z87+'B4'!Z87+'B5'!Z87</f>
        <v>0</v>
      </c>
      <c r="L37" s="197">
        <f>+'B1'!AA87+'B2'!AA87+'B3'!AA87+'B4'!AA87+'B5'!AA87</f>
        <v>0</v>
      </c>
      <c r="M37" s="197">
        <f>+'B1'!AB87+'B2'!AB87+'B3'!AB87+'B4'!AB87+'B5'!AB87</f>
        <v>0</v>
      </c>
      <c r="N37" s="181">
        <f t="shared" si="9"/>
        <v>0</v>
      </c>
    </row>
    <row r="38" spans="2:14" x14ac:dyDescent="0.2">
      <c r="B38" s="190" t="s">
        <v>78</v>
      </c>
      <c r="C38" s="151"/>
      <c r="D38" s="146">
        <f>+'B1'!S88+'B2'!S88+'B3'!S88+'B4'!S88+'B5'!S88</f>
        <v>0</v>
      </c>
      <c r="E38" s="203">
        <f>+'B1'!T88+'B2'!T88+'B3'!T88+'B4'!T88+'B5'!T88</f>
        <v>0</v>
      </c>
      <c r="F38" s="203">
        <f>+'B1'!U88+'B2'!U88+'B3'!U88+'B4'!U88+'B5'!U88</f>
        <v>0</v>
      </c>
      <c r="G38" s="203">
        <f>+'B1'!V88+'B2'!V88+'B3'!V88+'B4'!V88+'B5'!V88</f>
        <v>0</v>
      </c>
      <c r="H38" s="203">
        <f>+'B1'!W88+'B2'!W88+'B3'!W88+'B4'!W88+'B5'!W88</f>
        <v>0</v>
      </c>
      <c r="I38" s="203">
        <f>+'B1'!X88+'B2'!X88+'B3'!X88+'B4'!X88+'B5'!X88</f>
        <v>0</v>
      </c>
      <c r="J38" s="204">
        <f>+'B1'!Y88+'B2'!Y88+'B3'!Y88+'B4'!Y88+'B5'!Y88</f>
        <v>0</v>
      </c>
      <c r="K38" s="203">
        <f>+'B1'!Z88+'B2'!Z88+'B3'!Z88+'B4'!Z88+'B5'!Z88</f>
        <v>0</v>
      </c>
      <c r="L38" s="204">
        <f>+'B1'!AA88+'B2'!AA88+'B3'!AA88+'B4'!AA88+'B5'!AA88</f>
        <v>0</v>
      </c>
      <c r="M38" s="204">
        <f>+'B1'!AB88+'B2'!AB88+'B3'!AB88+'B4'!AB88+'B5'!AB88</f>
        <v>0</v>
      </c>
      <c r="N38" s="181">
        <f t="shared" si="9"/>
        <v>0</v>
      </c>
    </row>
    <row r="39" spans="2:14" x14ac:dyDescent="0.2">
      <c r="B39" s="191" t="s">
        <v>0</v>
      </c>
      <c r="C39" s="119"/>
      <c r="D39" s="21">
        <f>+'B1'!S89+'B2'!S89+'B3'!S89+'B4'!S89+'B5'!S89</f>
        <v>0</v>
      </c>
      <c r="E39" s="198">
        <f>+'B1'!T89+'B2'!T89+'B3'!T89+'B4'!T89+'B5'!T89</f>
        <v>0</v>
      </c>
      <c r="F39" s="198">
        <f>+'B1'!U89+'B2'!U89+'B3'!U89+'B4'!U89+'B5'!U89</f>
        <v>0</v>
      </c>
      <c r="G39" s="198">
        <f>+'B1'!V89+'B2'!V89+'B3'!V89+'B4'!V89+'B5'!V89</f>
        <v>0</v>
      </c>
      <c r="H39" s="198">
        <f>+'B1'!W89+'B2'!W89+'B3'!W89+'B4'!W89+'B5'!W89</f>
        <v>0</v>
      </c>
      <c r="I39" s="198">
        <f>+'B1'!X89+'B2'!X89+'B3'!X89+'B4'!X89+'B5'!X89</f>
        <v>0</v>
      </c>
      <c r="J39" s="199">
        <f>+'B1'!Y89+'B2'!Y89+'B3'!Y89+'B4'!Y89+'B5'!Y89</f>
        <v>0</v>
      </c>
      <c r="K39" s="198">
        <f>+'B1'!Z89+'B2'!Z89+'B3'!Z89+'B4'!Z89+'B5'!Z89</f>
        <v>0</v>
      </c>
      <c r="L39" s="199">
        <f>+'B1'!AA89+'B2'!AA89+'B3'!AA89+'B4'!AA89+'B5'!AA89</f>
        <v>0</v>
      </c>
      <c r="M39" s="199">
        <f>+'B1'!AB89+'B2'!AB89+'B3'!AB89+'B4'!AB89+'B5'!AB89</f>
        <v>0</v>
      </c>
      <c r="N39" s="181">
        <f t="shared" si="9"/>
        <v>0</v>
      </c>
    </row>
    <row r="40" spans="2:14" x14ac:dyDescent="0.2">
      <c r="B40" s="192" t="s">
        <v>103</v>
      </c>
      <c r="C40" s="119"/>
      <c r="D40" s="21">
        <f>+'B1'!S90+'B2'!S90+'B3'!S90+'B4'!S90+'B5'!S90</f>
        <v>0</v>
      </c>
      <c r="E40" s="21">
        <f>+'B1'!T90+'B2'!T90+'B3'!T90+'B4'!T90+'B5'!T90</f>
        <v>0</v>
      </c>
      <c r="F40" s="21">
        <f>+'B1'!U90+'B2'!U90+'B3'!U90+'B4'!U90+'B5'!U90</f>
        <v>0</v>
      </c>
      <c r="G40" s="21">
        <f>+'B1'!V90+'B2'!V90+'B3'!V90+'B4'!V90+'B5'!V90</f>
        <v>0</v>
      </c>
      <c r="H40" s="21">
        <f>+'B1'!W90+'B2'!W90+'B3'!W90+'B4'!W90+'B5'!W90</f>
        <v>0</v>
      </c>
      <c r="I40" s="21">
        <f>+'B1'!X90+'B2'!X90+'B3'!X90+'B4'!X90+'B5'!X90</f>
        <v>0</v>
      </c>
      <c r="J40" s="119">
        <f>+'B1'!Y90+'B2'!Y90+'B3'!Y90+'B4'!Y90+'B5'!Y90</f>
        <v>0</v>
      </c>
      <c r="K40" s="21">
        <f>+'B1'!Z90+'B2'!Z90+'B3'!Z90+'B4'!Z90+'B5'!Z90</f>
        <v>0</v>
      </c>
      <c r="L40" s="119">
        <f>+'B1'!AA90+'B2'!AA90+'B3'!AA90+'B4'!AA90+'B5'!AA90</f>
        <v>0</v>
      </c>
      <c r="M40" s="119">
        <f>+'B1'!AB90+'B2'!AB90+'B3'!AB90+'B4'!AB90+'B5'!AB90</f>
        <v>0</v>
      </c>
      <c r="N40" s="181">
        <f t="shared" si="9"/>
        <v>0</v>
      </c>
    </row>
    <row r="41" spans="2:14" x14ac:dyDescent="0.2">
      <c r="B41" s="192" t="s">
        <v>108</v>
      </c>
      <c r="C41" s="119"/>
      <c r="D41" s="21">
        <f>+'B1'!S91+'B2'!S91+'B3'!S91+'B4'!S91+'B5'!S91</f>
        <v>0</v>
      </c>
      <c r="E41" s="21">
        <f>+'B1'!T91+'B2'!T91+'B3'!T91+'B4'!T91+'B5'!T91</f>
        <v>0</v>
      </c>
      <c r="F41" s="21">
        <f>+'B1'!U91+'B2'!U91+'B3'!U91+'B4'!U91+'B5'!U91</f>
        <v>0</v>
      </c>
      <c r="G41" s="21">
        <f>+'B1'!V91+'B2'!V91+'B3'!V91+'B4'!V91+'B5'!V91</f>
        <v>0</v>
      </c>
      <c r="H41" s="21">
        <f>+'B1'!W91+'B2'!W91+'B3'!W91+'B4'!W91+'B5'!W91</f>
        <v>0</v>
      </c>
      <c r="I41" s="21">
        <f>+'B1'!X91+'B2'!X91+'B3'!X91+'B4'!X91+'B5'!X91</f>
        <v>0</v>
      </c>
      <c r="J41" s="21">
        <f>+'B1'!Y91+'B2'!Y91+'B3'!Y91+'B4'!Y91+'B5'!Y91</f>
        <v>0</v>
      </c>
      <c r="K41" s="21">
        <f>+'B1'!Z91+'B2'!Z91+'B3'!Z91+'B4'!Z91+'B5'!Z91</f>
        <v>0</v>
      </c>
      <c r="L41" s="119">
        <f>+'B1'!AA91+'B2'!AA91+'B3'!AA91+'B4'!AA91+'B5'!AA91</f>
        <v>0</v>
      </c>
      <c r="M41" s="119">
        <f>+'B1'!AB91+'B2'!AB91+'B3'!AB91+'B4'!AB91+'B5'!AB91</f>
        <v>0</v>
      </c>
      <c r="N41" s="181">
        <f t="shared" si="9"/>
        <v>0</v>
      </c>
    </row>
    <row r="42" spans="2:14" x14ac:dyDescent="0.2">
      <c r="B42" s="191" t="s">
        <v>545</v>
      </c>
      <c r="C42" s="119"/>
      <c r="D42" s="21">
        <f>+'B1'!S92+'B2'!S92+'B3'!S92+'B4'!S92+'B5'!S92</f>
        <v>0</v>
      </c>
      <c r="E42" s="21">
        <f>+'B1'!T92+'B2'!T92+'B3'!T92+'B4'!T92+'B5'!T92</f>
        <v>0</v>
      </c>
      <c r="F42" s="21">
        <f>+'B1'!U92+'B2'!U92+'B3'!U92+'B4'!U92+'B5'!U92</f>
        <v>0</v>
      </c>
      <c r="G42" s="21">
        <f>+'B1'!V92+'B2'!V92+'B3'!V92+'B4'!V92+'B5'!V92</f>
        <v>0</v>
      </c>
      <c r="H42" s="21">
        <f>+'B1'!W92+'B2'!W92+'B3'!W92+'B4'!W92+'B5'!W92</f>
        <v>0</v>
      </c>
      <c r="I42" s="21">
        <f>+'B1'!X92+'B2'!X92+'B3'!X92+'B4'!X92+'B5'!X92</f>
        <v>0</v>
      </c>
      <c r="J42" s="21">
        <f>+'B1'!Y92+'B2'!Y92+'B3'!Y92+'B4'!Y92+'B5'!Y92</f>
        <v>0</v>
      </c>
      <c r="K42" s="21">
        <f>+'B1'!Z92+'B2'!Z92+'B3'!Z92+'B4'!Z92+'B5'!Z92</f>
        <v>0</v>
      </c>
      <c r="L42" s="119">
        <f>+'B1'!AA92+'B2'!AA92+'B3'!AA92+'B4'!AA92+'B5'!AA92</f>
        <v>0</v>
      </c>
      <c r="M42" s="119">
        <f>+'B1'!AB92+'B2'!AB92+'B3'!AB92+'B4'!AB92+'B5'!AB92</f>
        <v>0</v>
      </c>
      <c r="N42" s="181">
        <f t="shared" si="9"/>
        <v>0</v>
      </c>
    </row>
    <row r="43" spans="2:14" ht="15" thickBot="1" x14ac:dyDescent="0.25">
      <c r="B43" s="193" t="s">
        <v>101</v>
      </c>
      <c r="C43" s="194"/>
      <c r="D43" s="152">
        <f>+SUM(D38:D42)</f>
        <v>0</v>
      </c>
      <c r="E43" s="152">
        <f t="shared" ref="E43:K43" si="10">+SUM(E38:E42)</f>
        <v>0</v>
      </c>
      <c r="F43" s="152">
        <f t="shared" si="10"/>
        <v>0</v>
      </c>
      <c r="G43" s="152">
        <f t="shared" si="10"/>
        <v>0</v>
      </c>
      <c r="H43" s="152">
        <f t="shared" si="10"/>
        <v>0</v>
      </c>
      <c r="I43" s="152">
        <f t="shared" si="10"/>
        <v>0</v>
      </c>
      <c r="J43" s="152">
        <f t="shared" si="10"/>
        <v>0</v>
      </c>
      <c r="K43" s="152">
        <f t="shared" si="10"/>
        <v>0</v>
      </c>
      <c r="L43" s="194">
        <f t="shared" ref="L43:M43" si="11">+SUM(L38:L42)</f>
        <v>0</v>
      </c>
      <c r="M43" s="194">
        <f t="shared" si="11"/>
        <v>0</v>
      </c>
      <c r="N43" s="182">
        <f t="shared" si="9"/>
        <v>0</v>
      </c>
    </row>
    <row r="44" spans="2:14" ht="15" thickBot="1" x14ac:dyDescent="0.25"/>
    <row r="45" spans="2:14" ht="18" x14ac:dyDescent="0.25">
      <c r="B45" s="186" t="s">
        <v>152</v>
      </c>
      <c r="C45" s="201"/>
      <c r="D45" s="201"/>
      <c r="E45" s="201"/>
      <c r="F45" s="201"/>
      <c r="G45" s="201"/>
      <c r="H45" s="201"/>
      <c r="I45" s="201"/>
      <c r="J45" s="201"/>
      <c r="K45" s="201"/>
      <c r="L45" s="201"/>
      <c r="M45" s="201"/>
      <c r="N45" s="184"/>
    </row>
    <row r="46" spans="2:14" ht="18" x14ac:dyDescent="0.25">
      <c r="B46" s="202"/>
      <c r="C46" s="16"/>
      <c r="D46" s="16"/>
      <c r="E46" s="195"/>
      <c r="F46" s="195"/>
      <c r="G46" s="195"/>
      <c r="H46" s="195"/>
      <c r="I46" s="195"/>
      <c r="J46" s="195"/>
      <c r="K46" s="195"/>
      <c r="L46" s="195"/>
      <c r="M46" s="195"/>
      <c r="N46" s="178"/>
    </row>
    <row r="47" spans="2:14" x14ac:dyDescent="0.2">
      <c r="B47" s="161" t="s">
        <v>22</v>
      </c>
      <c r="C47" s="4"/>
      <c r="D47" s="8">
        <f>+D33</f>
        <v>2025</v>
      </c>
      <c r="E47" s="8">
        <f t="shared" ref="E47:M47" si="12">+E33</f>
        <v>2026</v>
      </c>
      <c r="F47" s="8">
        <f t="shared" si="12"/>
        <v>2027</v>
      </c>
      <c r="G47" s="8">
        <f t="shared" si="12"/>
        <v>2028</v>
      </c>
      <c r="H47" s="8">
        <f t="shared" si="12"/>
        <v>2029</v>
      </c>
      <c r="I47" s="8">
        <f t="shared" si="12"/>
        <v>2030</v>
      </c>
      <c r="J47" s="8">
        <f t="shared" si="12"/>
        <v>2031</v>
      </c>
      <c r="K47" s="8">
        <f t="shared" si="12"/>
        <v>2032</v>
      </c>
      <c r="L47" s="8">
        <f t="shared" si="12"/>
        <v>2033</v>
      </c>
      <c r="M47" s="8">
        <f t="shared" si="12"/>
        <v>2034</v>
      </c>
      <c r="N47" s="133" t="s">
        <v>34</v>
      </c>
    </row>
    <row r="48" spans="2:14" x14ac:dyDescent="0.2">
      <c r="B48" s="189" t="s">
        <v>74</v>
      </c>
      <c r="C48" s="120"/>
      <c r="D48" s="28">
        <f>+'B1'!S98+'B2'!S98+'B3'!S98+'B4'!S98+'B5'!S98</f>
        <v>0</v>
      </c>
      <c r="E48" s="120">
        <f>+'B1'!T98+'B2'!T98+'B3'!T98+'B4'!T98+'B5'!T98</f>
        <v>386400</v>
      </c>
      <c r="F48" s="28">
        <f>+'B1'!U98+'B2'!U98+'B3'!U98+'B4'!U98+'B5'!U98</f>
        <v>398100</v>
      </c>
      <c r="G48" s="120">
        <f>+'B1'!V98+'B2'!V98+'B3'!V98+'B4'!V98+'B5'!V98</f>
        <v>410400</v>
      </c>
      <c r="H48" s="28">
        <f>+'B1'!W98+'B2'!W98+'B3'!W98+'B4'!W98+'B5'!W98</f>
        <v>423000</v>
      </c>
      <c r="I48" s="120">
        <f>+'B1'!X98+'B2'!X98+'B3'!X98+'B4'!X98+'B5'!X98</f>
        <v>0</v>
      </c>
      <c r="J48" s="28">
        <f>+'B1'!Y98+'B2'!Y98+'B3'!Y98+'B4'!Y98+'B5'!Y98</f>
        <v>0</v>
      </c>
      <c r="K48" s="28">
        <f>+'B1'!Z98+'B2'!Z98+'B3'!Z98+'B4'!Z98+'B5'!Z98</f>
        <v>0</v>
      </c>
      <c r="L48" s="120">
        <f>+'B1'!AA98+'B2'!AA98+'B3'!AA98+'B4'!AA98+'B5'!AA98</f>
        <v>0</v>
      </c>
      <c r="M48" s="120">
        <f>+'B1'!AB98+'B2'!AB98+'B3'!AB98+'B4'!AB98+'B5'!AB98</f>
        <v>0</v>
      </c>
      <c r="N48" s="179">
        <f>SUM(D48:K48)</f>
        <v>1617900</v>
      </c>
    </row>
    <row r="49" spans="2:14" x14ac:dyDescent="0.2">
      <c r="B49" s="161" t="s">
        <v>75</v>
      </c>
      <c r="C49" s="121"/>
      <c r="D49" s="122">
        <f>+'B1'!S99+'B2'!S99+'B3'!S99+'B4'!S99+'B5'!S99</f>
        <v>0</v>
      </c>
      <c r="E49" s="121">
        <f>+'B1'!T99+'B2'!T99+'B3'!T99+'B4'!T99+'B5'!T99</f>
        <v>0</v>
      </c>
      <c r="F49" s="122">
        <f>+'B1'!U99+'B2'!U99+'B3'!U99+'B4'!U99+'B5'!U99</f>
        <v>0</v>
      </c>
      <c r="G49" s="121">
        <f>+'B1'!V99+'B2'!V99+'B3'!V99+'B4'!V99+'B5'!V99</f>
        <v>0</v>
      </c>
      <c r="H49" s="122">
        <f>+'B1'!W99+'B2'!W99+'B3'!W99+'B4'!W99+'B5'!W99</f>
        <v>0</v>
      </c>
      <c r="I49" s="121">
        <f>+'B1'!X99+'B2'!X99+'B3'!X99+'B4'!X99+'B5'!X99</f>
        <v>0</v>
      </c>
      <c r="J49" s="122">
        <f>+'B1'!Y99+'B2'!Y99+'B3'!Y99+'B4'!Y99+'B5'!Y99</f>
        <v>0</v>
      </c>
      <c r="K49" s="122">
        <f>+'B1'!Z99+'B2'!Z99+'B3'!Z99+'B4'!Z99+'B5'!Z99</f>
        <v>0</v>
      </c>
      <c r="L49" s="121">
        <f>+'B1'!AA99+'B2'!AA99+'B3'!AA99+'B4'!AA99+'B5'!AA99</f>
        <v>0</v>
      </c>
      <c r="M49" s="121">
        <f>+'B1'!AB99+'B2'!AB99+'B3'!AB99+'B4'!AB99+'B5'!AB99</f>
        <v>0</v>
      </c>
      <c r="N49" s="180">
        <f t="shared" ref="N49:N57" si="13">SUM(D49:K49)</f>
        <v>0</v>
      </c>
    </row>
    <row r="50" spans="2:14" x14ac:dyDescent="0.2">
      <c r="B50" s="190" t="s">
        <v>76</v>
      </c>
      <c r="C50" s="151"/>
      <c r="D50" s="146">
        <f>+'B1'!S100+'B2'!S100+'B3'!S100+'B4'!S100+'B5'!S100</f>
        <v>0</v>
      </c>
      <c r="E50" s="146">
        <f>+'B1'!T100+'B2'!T100+'B3'!T100+'B4'!T100+'B5'!T100</f>
        <v>386400</v>
      </c>
      <c r="F50" s="146">
        <f>+'B1'!U100+'B2'!U100+'B3'!U100+'B4'!U100+'B5'!U100</f>
        <v>398100</v>
      </c>
      <c r="G50" s="146">
        <f>+'B1'!V100+'B2'!V100+'B3'!V100+'B4'!V100+'B5'!V100</f>
        <v>410400</v>
      </c>
      <c r="H50" s="146">
        <f>+'B1'!W100+'B2'!W100+'B3'!W100+'B4'!W100+'B5'!W100</f>
        <v>423000</v>
      </c>
      <c r="I50" s="146">
        <f>+'B1'!X100+'B2'!X100+'B3'!X100+'B4'!X100+'B5'!X100</f>
        <v>0</v>
      </c>
      <c r="J50" s="151">
        <f>+'B1'!Y100+'B2'!Y100+'B3'!Y100+'B4'!Y100+'B5'!Y100</f>
        <v>0</v>
      </c>
      <c r="K50" s="146">
        <f>+'B1'!Z100+'B2'!Z100+'B3'!Z100+'B4'!Z100+'B5'!Z100</f>
        <v>0</v>
      </c>
      <c r="L50" s="151">
        <f>+'B1'!AA100+'B2'!AA100+'B3'!AA100+'B4'!AA100+'B5'!AA100</f>
        <v>0</v>
      </c>
      <c r="M50" s="151">
        <f>+'B1'!AB100+'B2'!AB100+'B3'!AB100+'B4'!AB100+'B5'!AB100</f>
        <v>0</v>
      </c>
      <c r="N50" s="181">
        <f t="shared" si="13"/>
        <v>1617900</v>
      </c>
    </row>
    <row r="51" spans="2:14" x14ac:dyDescent="0.2">
      <c r="B51" s="190" t="s">
        <v>77</v>
      </c>
      <c r="C51" s="151"/>
      <c r="D51" s="146">
        <f>+'B1'!S101+'B2'!S101+'B3'!S101+'B4'!S101+'B5'!S101</f>
        <v>0</v>
      </c>
      <c r="E51" s="196">
        <f>+'B1'!T101+'B2'!T101+'B3'!T101+'B4'!T101+'B5'!T101</f>
        <v>0</v>
      </c>
      <c r="F51" s="196">
        <f>+'B1'!U101+'B2'!U101+'B3'!U101+'B4'!U101+'B5'!U101</f>
        <v>0</v>
      </c>
      <c r="G51" s="196">
        <f>+'B1'!V101+'B2'!V101+'B3'!V101+'B4'!V101+'B5'!V101</f>
        <v>0</v>
      </c>
      <c r="H51" s="196">
        <f>+'B1'!W101+'B2'!W101+'B3'!W101+'B4'!W101+'B5'!W101</f>
        <v>0</v>
      </c>
      <c r="I51" s="196">
        <f>+'B1'!X101+'B2'!X101+'B3'!X101+'B4'!X101+'B5'!X101</f>
        <v>0</v>
      </c>
      <c r="J51" s="197">
        <f>+'B1'!Y101+'B2'!Y101+'B3'!Y101+'B4'!Y101+'B5'!Y101</f>
        <v>0</v>
      </c>
      <c r="K51" s="196">
        <f>+'B1'!Z101+'B2'!Z101+'B3'!Z101+'B4'!Z101+'B5'!Z101</f>
        <v>0</v>
      </c>
      <c r="L51" s="197">
        <f>+'B1'!AA101+'B2'!AA101+'B3'!AA101+'B4'!AA101+'B5'!AA101</f>
        <v>0</v>
      </c>
      <c r="M51" s="197">
        <f>+'B1'!AB101+'B2'!AB101+'B3'!AB101+'B4'!AB101+'B5'!AB101</f>
        <v>0</v>
      </c>
      <c r="N51" s="181">
        <f t="shared" si="13"/>
        <v>0</v>
      </c>
    </row>
    <row r="52" spans="2:14" x14ac:dyDescent="0.2">
      <c r="B52" s="190" t="s">
        <v>78</v>
      </c>
      <c r="C52" s="151"/>
      <c r="D52" s="146">
        <f>+'B1'!S102+'B2'!S102+'B3'!S102+'B4'!S102+'B5'!S102</f>
        <v>0</v>
      </c>
      <c r="E52" s="203">
        <f>+'B1'!T102+'B2'!T102+'B3'!T102+'B4'!T102+'B5'!T102</f>
        <v>386400</v>
      </c>
      <c r="F52" s="203">
        <f>+'B1'!U102+'B2'!U102+'B3'!U102+'B4'!U102+'B5'!U102</f>
        <v>398100</v>
      </c>
      <c r="G52" s="203">
        <f>+'B1'!V102+'B2'!V102+'B3'!V102+'B4'!V102+'B5'!V102</f>
        <v>410400</v>
      </c>
      <c r="H52" s="203">
        <f>+'B1'!W102+'B2'!W102+'B3'!W102+'B4'!W102+'B5'!W102</f>
        <v>423000</v>
      </c>
      <c r="I52" s="203">
        <f>+'B1'!X102+'B2'!X102+'B3'!X102+'B4'!X102+'B5'!X102</f>
        <v>0</v>
      </c>
      <c r="J52" s="204">
        <f>+'B1'!Y102+'B2'!Y102+'B3'!Y102+'B4'!Y102+'B5'!Y102</f>
        <v>0</v>
      </c>
      <c r="K52" s="203">
        <f>+'B1'!Z102+'B2'!Z102+'B3'!Z102+'B4'!Z102+'B5'!Z102</f>
        <v>0</v>
      </c>
      <c r="L52" s="204">
        <f>+'B1'!AA102+'B2'!AA102+'B3'!AA102+'B4'!AA102+'B5'!AA102</f>
        <v>0</v>
      </c>
      <c r="M52" s="204">
        <f>+'B1'!AB102+'B2'!AB102+'B3'!AB102+'B4'!AB102+'B5'!AB102</f>
        <v>0</v>
      </c>
      <c r="N52" s="181">
        <f t="shared" si="13"/>
        <v>1617900</v>
      </c>
    </row>
    <row r="53" spans="2:14" x14ac:dyDescent="0.2">
      <c r="B53" s="191" t="s">
        <v>0</v>
      </c>
      <c r="C53" s="119"/>
      <c r="D53" s="21">
        <f>+'B1'!S103+'B2'!S103+'B3'!S103+'B4'!S103+'B5'!S103</f>
        <v>0</v>
      </c>
      <c r="E53" s="198">
        <f>+'B1'!T103+'B2'!T103+'B3'!T103+'B4'!T103+'B5'!T103</f>
        <v>96600</v>
      </c>
      <c r="F53" s="198">
        <f>+'B1'!U103+'B2'!U103+'B3'!U103+'B4'!U103+'B5'!U103</f>
        <v>99525</v>
      </c>
      <c r="G53" s="198">
        <f>+'B1'!V103+'B2'!V103+'B3'!V103+'B4'!V103+'B5'!V103</f>
        <v>102600</v>
      </c>
      <c r="H53" s="198">
        <f>+'B1'!W103+'B2'!W103+'B3'!W103+'B4'!W103+'B5'!W103</f>
        <v>105750</v>
      </c>
      <c r="I53" s="198">
        <f>+'B1'!X103+'B2'!X103+'B3'!X103+'B4'!X103+'B5'!X103</f>
        <v>0</v>
      </c>
      <c r="J53" s="199">
        <f>+'B1'!Y103+'B2'!Y103+'B3'!Y103+'B4'!Y103+'B5'!Y103</f>
        <v>0</v>
      </c>
      <c r="K53" s="198">
        <f>+'B1'!Z103+'B2'!Z103+'B3'!Z103+'B4'!Z103+'B5'!Z103</f>
        <v>0</v>
      </c>
      <c r="L53" s="199">
        <f>+'B1'!AA103+'B2'!AA103+'B3'!AA103+'B4'!AA103+'B5'!AA103</f>
        <v>0</v>
      </c>
      <c r="M53" s="199">
        <f>+'B1'!AB103+'B2'!AB103+'B3'!AB103+'B4'!AB103+'B5'!AB103</f>
        <v>0</v>
      </c>
      <c r="N53" s="181">
        <f t="shared" si="13"/>
        <v>404475</v>
      </c>
    </row>
    <row r="54" spans="2:14" x14ac:dyDescent="0.2">
      <c r="B54" s="192" t="s">
        <v>103</v>
      </c>
      <c r="C54" s="119"/>
      <c r="D54" s="21">
        <f>+'B1'!S104+'B2'!S104+'B3'!S104+'B4'!S104+'B5'!S104</f>
        <v>0</v>
      </c>
      <c r="E54" s="21">
        <f>+'B1'!T104+'B2'!T104+'B3'!T104+'B4'!T104+'B5'!T104</f>
        <v>0</v>
      </c>
      <c r="F54" s="21">
        <f>+'B1'!U104+'B2'!U104+'B3'!U104+'B4'!U104+'B5'!U104</f>
        <v>0</v>
      </c>
      <c r="G54" s="21">
        <f>+'B1'!V104+'B2'!V104+'B3'!V104+'B4'!V104+'B5'!V104</f>
        <v>0</v>
      </c>
      <c r="H54" s="21">
        <f>+'B1'!W104+'B2'!W104+'B3'!W104+'B4'!W104+'B5'!W104</f>
        <v>0</v>
      </c>
      <c r="I54" s="21">
        <f>+'B1'!X104+'B2'!X104+'B3'!X104+'B4'!X104+'B5'!X104</f>
        <v>0</v>
      </c>
      <c r="J54" s="119">
        <f>+'B1'!Y104+'B2'!Y104+'B3'!Y104+'B4'!Y104+'B5'!Y104</f>
        <v>0</v>
      </c>
      <c r="K54" s="21">
        <f>+'B1'!Z104+'B2'!Z104+'B3'!Z104+'B4'!Z104+'B5'!Z104</f>
        <v>0</v>
      </c>
      <c r="L54" s="119">
        <f>+'B1'!AA104+'B2'!AA104+'B3'!AA104+'B4'!AA104+'B5'!AA104</f>
        <v>0</v>
      </c>
      <c r="M54" s="119">
        <f>+'B1'!AB104+'B2'!AB104+'B3'!AB104+'B4'!AB104+'B5'!AB104</f>
        <v>0</v>
      </c>
      <c r="N54" s="181">
        <f t="shared" si="13"/>
        <v>0</v>
      </c>
    </row>
    <row r="55" spans="2:14" x14ac:dyDescent="0.2">
      <c r="B55" s="192" t="s">
        <v>108</v>
      </c>
      <c r="C55" s="119"/>
      <c r="D55" s="21">
        <f>+'B1'!S105+'B2'!S105+'B3'!S105+'B4'!S105+'B5'!S105</f>
        <v>0</v>
      </c>
      <c r="E55" s="21">
        <f>+'B1'!T105+'B2'!T105+'B3'!T105+'B4'!T105+'B5'!T105</f>
        <v>0</v>
      </c>
      <c r="F55" s="21">
        <f>+'B1'!U105+'B2'!U105+'B3'!U105+'B4'!U105+'B5'!U105</f>
        <v>0</v>
      </c>
      <c r="G55" s="21">
        <f>+'B1'!V105+'B2'!V105+'B3'!V105+'B4'!V105+'B5'!V105</f>
        <v>0</v>
      </c>
      <c r="H55" s="21">
        <f>+'B1'!W105+'B2'!W105+'B3'!W105+'B4'!W105+'B5'!W105</f>
        <v>0</v>
      </c>
      <c r="I55" s="21">
        <f>+'B1'!X105+'B2'!X105+'B3'!X105+'B4'!X105+'B5'!X105</f>
        <v>0</v>
      </c>
      <c r="J55" s="21">
        <f>+'B1'!Y105+'B2'!Y105+'B3'!Y105+'B4'!Y105+'B5'!Y105</f>
        <v>0</v>
      </c>
      <c r="K55" s="21">
        <f>+'B1'!Z105+'B2'!Z105+'B3'!Z105+'B4'!Z105+'B5'!Z105</f>
        <v>0</v>
      </c>
      <c r="L55" s="119">
        <f>+'B1'!AA105+'B2'!AA105+'B3'!AA105+'B4'!AA105+'B5'!AA105</f>
        <v>0</v>
      </c>
      <c r="M55" s="119">
        <f>+'B1'!AB105+'B2'!AB105+'B3'!AB105+'B4'!AB105+'B5'!AB105</f>
        <v>0</v>
      </c>
      <c r="N55" s="181">
        <f t="shared" si="13"/>
        <v>0</v>
      </c>
    </row>
    <row r="56" spans="2:14" x14ac:dyDescent="0.2">
      <c r="B56" s="191" t="s">
        <v>545</v>
      </c>
      <c r="C56" s="119"/>
      <c r="D56" s="21">
        <f>+'B1'!S106+'B2'!S106+'B3'!S106+'B4'!S106+'B5'!S106</f>
        <v>0</v>
      </c>
      <c r="E56" s="21">
        <f>+'B1'!T106+'B2'!T106+'B3'!T106+'B4'!T106+'B5'!T106</f>
        <v>0</v>
      </c>
      <c r="F56" s="21">
        <f>+'B1'!U106+'B2'!U106+'B3'!U106+'B4'!U106+'B5'!U106</f>
        <v>0</v>
      </c>
      <c r="G56" s="21">
        <f>+'B1'!V106+'B2'!V106+'B3'!V106+'B4'!V106+'B5'!V106</f>
        <v>0</v>
      </c>
      <c r="H56" s="21">
        <f>+'B1'!W106+'B2'!W106+'B3'!W106+'B4'!W106+'B5'!W106</f>
        <v>0</v>
      </c>
      <c r="I56" s="21">
        <f>+'B1'!X106+'B2'!X106+'B3'!X106+'B4'!X106+'B5'!X106</f>
        <v>0</v>
      </c>
      <c r="J56" s="21">
        <f>+'B1'!Y106+'B2'!Y106+'B3'!Y106+'B4'!Y106+'B5'!Y106</f>
        <v>0</v>
      </c>
      <c r="K56" s="21">
        <f>+'B1'!Z106+'B2'!Z106+'B3'!Z106+'B4'!Z106+'B5'!Z106</f>
        <v>0</v>
      </c>
      <c r="L56" s="119">
        <f>+'B1'!AA106+'B2'!AA106+'B3'!AA106+'B4'!AA106+'B5'!AA106</f>
        <v>0</v>
      </c>
      <c r="M56" s="119">
        <f>+'B1'!AB106+'B2'!AB106+'B3'!AB106+'B4'!AB106+'B5'!AB106</f>
        <v>0</v>
      </c>
      <c r="N56" s="181">
        <f t="shared" si="13"/>
        <v>0</v>
      </c>
    </row>
    <row r="57" spans="2:14" ht="15" thickBot="1" x14ac:dyDescent="0.25">
      <c r="B57" s="193" t="s">
        <v>101</v>
      </c>
      <c r="C57" s="194"/>
      <c r="D57" s="152">
        <f>+SUM(D52:D56)</f>
        <v>0</v>
      </c>
      <c r="E57" s="152">
        <f t="shared" ref="E57:K57" si="14">+SUM(E52:E56)</f>
        <v>483000</v>
      </c>
      <c r="F57" s="152">
        <f t="shared" si="14"/>
        <v>497625</v>
      </c>
      <c r="G57" s="152">
        <f t="shared" si="14"/>
        <v>513000</v>
      </c>
      <c r="H57" s="152">
        <f t="shared" si="14"/>
        <v>528750</v>
      </c>
      <c r="I57" s="152">
        <f t="shared" si="14"/>
        <v>0</v>
      </c>
      <c r="J57" s="152">
        <f t="shared" si="14"/>
        <v>0</v>
      </c>
      <c r="K57" s="152">
        <f t="shared" si="14"/>
        <v>0</v>
      </c>
      <c r="L57" s="194">
        <f t="shared" ref="L57:M57" si="15">+SUM(L52:L56)</f>
        <v>0</v>
      </c>
      <c r="M57" s="194">
        <f t="shared" si="15"/>
        <v>0</v>
      </c>
      <c r="N57" s="182">
        <f t="shared" si="13"/>
        <v>2022375</v>
      </c>
    </row>
    <row r="58" spans="2:14" ht="15" thickBot="1" x14ac:dyDescent="0.25"/>
    <row r="59" spans="2:14" ht="18" x14ac:dyDescent="0.25">
      <c r="B59" s="186" t="s">
        <v>656</v>
      </c>
      <c r="C59" s="201"/>
      <c r="D59" s="201"/>
      <c r="E59" s="201"/>
      <c r="F59" s="201"/>
      <c r="G59" s="201"/>
      <c r="H59" s="201"/>
      <c r="I59" s="201"/>
      <c r="J59" s="201"/>
      <c r="K59" s="201"/>
      <c r="L59" s="201"/>
      <c r="M59" s="201"/>
      <c r="N59" s="184"/>
    </row>
    <row r="60" spans="2:14" ht="18" x14ac:dyDescent="0.25">
      <c r="B60" s="202"/>
      <c r="C60" s="16"/>
      <c r="D60" s="16"/>
      <c r="E60" s="195"/>
      <c r="F60" s="195"/>
      <c r="G60" s="195"/>
      <c r="H60" s="195"/>
      <c r="I60" s="195"/>
      <c r="J60" s="195"/>
      <c r="K60" s="195"/>
      <c r="L60" s="195"/>
      <c r="M60" s="195"/>
      <c r="N60" s="178"/>
    </row>
    <row r="61" spans="2:14" x14ac:dyDescent="0.2">
      <c r="B61" s="161" t="s">
        <v>22</v>
      </c>
      <c r="C61" s="4"/>
      <c r="D61" s="8">
        <f>+D47</f>
        <v>2025</v>
      </c>
      <c r="E61" s="8">
        <f t="shared" ref="E61:M61" si="16">+E47</f>
        <v>2026</v>
      </c>
      <c r="F61" s="8">
        <f t="shared" si="16"/>
        <v>2027</v>
      </c>
      <c r="G61" s="8">
        <f t="shared" si="16"/>
        <v>2028</v>
      </c>
      <c r="H61" s="8">
        <f t="shared" si="16"/>
        <v>2029</v>
      </c>
      <c r="I61" s="8">
        <f t="shared" si="16"/>
        <v>2030</v>
      </c>
      <c r="J61" s="8">
        <f t="shared" si="16"/>
        <v>2031</v>
      </c>
      <c r="K61" s="8">
        <f t="shared" si="16"/>
        <v>2032</v>
      </c>
      <c r="L61" s="8">
        <f t="shared" si="16"/>
        <v>2033</v>
      </c>
      <c r="M61" s="8">
        <f t="shared" si="16"/>
        <v>2034</v>
      </c>
      <c r="N61" s="133" t="s">
        <v>34</v>
      </c>
    </row>
    <row r="62" spans="2:14" x14ac:dyDescent="0.2">
      <c r="B62" s="189" t="s">
        <v>74</v>
      </c>
      <c r="C62" s="120"/>
      <c r="D62" s="28">
        <f>+'B1'!S112+'B2'!S112+'B3'!S112+'B4'!S112+'B5'!S112</f>
        <v>0</v>
      </c>
      <c r="E62" s="120">
        <f>+'B1'!T112+'B2'!T112+'B3'!T112+'B4'!T112+'B5'!T112</f>
        <v>0</v>
      </c>
      <c r="F62" s="28">
        <f>+'B1'!U112+'B2'!U112+'B3'!U112+'B4'!U112+'B5'!U112</f>
        <v>0</v>
      </c>
      <c r="G62" s="120">
        <f>+'B1'!V112+'B2'!V112+'B3'!V112+'B4'!V112+'B5'!V112</f>
        <v>0</v>
      </c>
      <c r="H62" s="28">
        <f>+'B1'!W112+'B2'!W112+'B3'!W112+'B4'!W112+'B5'!W112</f>
        <v>0</v>
      </c>
      <c r="I62" s="120">
        <f>+'B1'!X112+'B2'!X112+'B3'!X112+'B4'!X112+'B5'!X112</f>
        <v>0</v>
      </c>
      <c r="J62" s="28">
        <f>+'B1'!Y112+'B2'!Y112+'B3'!Y112+'B4'!Y112+'B5'!Y112</f>
        <v>0</v>
      </c>
      <c r="K62" s="28">
        <f>+'B1'!Z112+'B2'!Z112+'B3'!Z112+'B4'!Z112+'B5'!Z112</f>
        <v>0</v>
      </c>
      <c r="L62" s="120">
        <f>+'B1'!AA112+'B2'!AA112+'B3'!AA112+'B4'!AA112+'B5'!AA112</f>
        <v>0</v>
      </c>
      <c r="M62" s="120">
        <f>+'B1'!AB112+'B2'!AB112+'B3'!AB112+'B4'!AB112+'B5'!AB112</f>
        <v>0</v>
      </c>
      <c r="N62" s="179">
        <f>SUM(D62:K62)</f>
        <v>0</v>
      </c>
    </row>
    <row r="63" spans="2:14" x14ac:dyDescent="0.2">
      <c r="B63" s="161" t="s">
        <v>75</v>
      </c>
      <c r="C63" s="121"/>
      <c r="D63" s="122">
        <f>+'B1'!S113+'B2'!S113+'B3'!S113+'B4'!S113+'B5'!S113</f>
        <v>0</v>
      </c>
      <c r="E63" s="121">
        <f>+'B1'!T113+'B2'!T113+'B3'!T113+'B4'!T113+'B5'!T113</f>
        <v>0</v>
      </c>
      <c r="F63" s="122">
        <f>+'B1'!U113+'B2'!U113+'B3'!U113+'B4'!U113+'B5'!U113</f>
        <v>0</v>
      </c>
      <c r="G63" s="121">
        <f>+'B1'!V113+'B2'!V113+'B3'!V113+'B4'!V113+'B5'!V113</f>
        <v>0</v>
      </c>
      <c r="H63" s="122">
        <f>+'B1'!W113+'B2'!W113+'B3'!W113+'B4'!W113+'B5'!W113</f>
        <v>0</v>
      </c>
      <c r="I63" s="121">
        <f>+'B1'!X113+'B2'!X113+'B3'!X113+'B4'!X113+'B5'!X113</f>
        <v>0</v>
      </c>
      <c r="J63" s="122">
        <f>+'B1'!Y113+'B2'!Y113+'B3'!Y113+'B4'!Y113+'B5'!Y113</f>
        <v>0</v>
      </c>
      <c r="K63" s="122">
        <f>+'B1'!Z113+'B2'!Z113+'B3'!Z113+'B4'!Z113+'B5'!Z113</f>
        <v>0</v>
      </c>
      <c r="L63" s="121">
        <f>+'B1'!AA113+'B2'!AA113+'B3'!AA113+'B4'!AA113+'B5'!AA113</f>
        <v>0</v>
      </c>
      <c r="M63" s="121">
        <f>+'B1'!AB113+'B2'!AB113+'B3'!AB113+'B4'!AB113+'B5'!AB113</f>
        <v>0</v>
      </c>
      <c r="N63" s="180">
        <f t="shared" ref="N63:N71" si="17">SUM(D63:K63)</f>
        <v>0</v>
      </c>
    </row>
    <row r="64" spans="2:14" x14ac:dyDescent="0.2">
      <c r="B64" s="190" t="s">
        <v>76</v>
      </c>
      <c r="C64" s="151"/>
      <c r="D64" s="146">
        <f>+'B1'!S114+'B2'!S114+'B3'!S114+'B4'!S114+'B5'!S114</f>
        <v>0</v>
      </c>
      <c r="E64" s="146">
        <f>+'B1'!T114+'B2'!T114+'B3'!T114+'B4'!T114+'B5'!T114</f>
        <v>0</v>
      </c>
      <c r="F64" s="146">
        <f>+'B1'!U114+'B2'!U114+'B3'!U114+'B4'!U114+'B5'!U114</f>
        <v>0</v>
      </c>
      <c r="G64" s="146">
        <f>+'B1'!V114+'B2'!V114+'B3'!V114+'B4'!V114+'B5'!V114</f>
        <v>0</v>
      </c>
      <c r="H64" s="146">
        <f>+'B1'!W114+'B2'!W114+'B3'!W114+'B4'!W114+'B5'!W114</f>
        <v>0</v>
      </c>
      <c r="I64" s="146">
        <f>+'B1'!X114+'B2'!X114+'B3'!X114+'B4'!X114+'B5'!X114</f>
        <v>0</v>
      </c>
      <c r="J64" s="151">
        <f>+'B1'!Y114+'B2'!Y114+'B3'!Y114+'B4'!Y114+'B5'!Y114</f>
        <v>0</v>
      </c>
      <c r="K64" s="146">
        <f>+'B1'!Z114+'B2'!Z114+'B3'!Z114+'B4'!Z114+'B5'!Z114</f>
        <v>0</v>
      </c>
      <c r="L64" s="151">
        <f>+'B1'!AA114+'B2'!AA114+'B3'!AA114+'B4'!AA114+'B5'!AA114</f>
        <v>0</v>
      </c>
      <c r="M64" s="151">
        <f>+'B1'!AB114+'B2'!AB114+'B3'!AB114+'B4'!AB114+'B5'!AB114</f>
        <v>0</v>
      </c>
      <c r="N64" s="181">
        <f t="shared" si="17"/>
        <v>0</v>
      </c>
    </row>
    <row r="65" spans="2:14" x14ac:dyDescent="0.2">
      <c r="B65" s="190" t="s">
        <v>77</v>
      </c>
      <c r="C65" s="151"/>
      <c r="D65" s="146">
        <f>+'B1'!S115+'B2'!S115+'B3'!S115+'B4'!S115+'B5'!S115</f>
        <v>0</v>
      </c>
      <c r="E65" s="196">
        <f>+'B1'!T115+'B2'!T115+'B3'!T115+'B4'!T115+'B5'!T115</f>
        <v>0</v>
      </c>
      <c r="F65" s="196">
        <f>+'B1'!U115+'B2'!U115+'B3'!U115+'B4'!U115+'B5'!U115</f>
        <v>0</v>
      </c>
      <c r="G65" s="196">
        <f>+'B1'!V115+'B2'!V115+'B3'!V115+'B4'!V115+'B5'!V115</f>
        <v>0</v>
      </c>
      <c r="H65" s="196">
        <f>+'B1'!W115+'B2'!W115+'B3'!W115+'B4'!W115+'B5'!W115</f>
        <v>0</v>
      </c>
      <c r="I65" s="196">
        <f>+'B1'!X115+'B2'!X115+'B3'!X115+'B4'!X115+'B5'!X115</f>
        <v>0</v>
      </c>
      <c r="J65" s="197">
        <f>+'B1'!Y115+'B2'!Y115+'B3'!Y115+'B4'!Y115+'B5'!Y115</f>
        <v>0</v>
      </c>
      <c r="K65" s="196">
        <f>+'B1'!Z115+'B2'!Z115+'B3'!Z115+'B4'!Z115+'B5'!Z115</f>
        <v>0</v>
      </c>
      <c r="L65" s="197">
        <f>+'B1'!AA115+'B2'!AA115+'B3'!AA115+'B4'!AA115+'B5'!AA115</f>
        <v>0</v>
      </c>
      <c r="M65" s="197">
        <f>+'B1'!AB115+'B2'!AB115+'B3'!AB115+'B4'!AB115+'B5'!AB115</f>
        <v>0</v>
      </c>
      <c r="N65" s="181">
        <f t="shared" si="17"/>
        <v>0</v>
      </c>
    </row>
    <row r="66" spans="2:14" x14ac:dyDescent="0.2">
      <c r="B66" s="190" t="s">
        <v>78</v>
      </c>
      <c r="C66" s="151"/>
      <c r="D66" s="146">
        <f>+'B1'!S116+'B2'!S116+'B3'!S116+'B4'!S116+'B5'!S116</f>
        <v>0</v>
      </c>
      <c r="E66" s="203">
        <f>+'B1'!T116+'B2'!T116+'B3'!T116+'B4'!T116+'B5'!T116</f>
        <v>0</v>
      </c>
      <c r="F66" s="203">
        <f>+'B1'!U116+'B2'!U116+'B3'!U116+'B4'!U116+'B5'!U116</f>
        <v>0</v>
      </c>
      <c r="G66" s="203">
        <f>+'B1'!V116+'B2'!V116+'B3'!V116+'B4'!V116+'B5'!V116</f>
        <v>0</v>
      </c>
      <c r="H66" s="203">
        <f>+'B1'!W116+'B2'!W116+'B3'!W116+'B4'!W116+'B5'!W116</f>
        <v>0</v>
      </c>
      <c r="I66" s="203">
        <f>+'B1'!X116+'B2'!X116+'B3'!X116+'B4'!X116+'B5'!X116</f>
        <v>0</v>
      </c>
      <c r="J66" s="204">
        <f>+'B1'!Y116+'B2'!Y116+'B3'!Y116+'B4'!Y116+'B5'!Y116</f>
        <v>0</v>
      </c>
      <c r="K66" s="203">
        <f>+'B1'!Z116+'B2'!Z116+'B3'!Z116+'B4'!Z116+'B5'!Z116</f>
        <v>0</v>
      </c>
      <c r="L66" s="204">
        <f>+'B1'!AA116+'B2'!AA116+'B3'!AA116+'B4'!AA116+'B5'!AA116</f>
        <v>0</v>
      </c>
      <c r="M66" s="204">
        <f>+'B1'!AB116+'B2'!AB116+'B3'!AB116+'B4'!AB116+'B5'!AB116</f>
        <v>0</v>
      </c>
      <c r="N66" s="181">
        <f t="shared" si="17"/>
        <v>0</v>
      </c>
    </row>
    <row r="67" spans="2:14" x14ac:dyDescent="0.2">
      <c r="B67" s="191" t="s">
        <v>0</v>
      </c>
      <c r="C67" s="119"/>
      <c r="D67" s="21">
        <f>+'B1'!S117+'B2'!S117+'B3'!S117+'B4'!S117+'B5'!S117</f>
        <v>0</v>
      </c>
      <c r="E67" s="198">
        <f>+'B1'!T117+'B2'!T117+'B3'!T117+'B4'!T117+'B5'!T117</f>
        <v>0</v>
      </c>
      <c r="F67" s="198">
        <f>+'B1'!U117+'B2'!U117+'B3'!U117+'B4'!U117+'B5'!U117</f>
        <v>0</v>
      </c>
      <c r="G67" s="198">
        <f>+'B1'!V117+'B2'!V117+'B3'!V117+'B4'!V117+'B5'!V117</f>
        <v>0</v>
      </c>
      <c r="H67" s="198">
        <f>+'B1'!W117+'B2'!W117+'B3'!W117+'B4'!W117+'B5'!W117</f>
        <v>0</v>
      </c>
      <c r="I67" s="198">
        <f>+'B1'!X117+'B2'!X117+'B3'!X117+'B4'!X117+'B5'!X117</f>
        <v>0</v>
      </c>
      <c r="J67" s="199">
        <f>+'B1'!Y117+'B2'!Y117+'B3'!Y117+'B4'!Y117+'B5'!Y117</f>
        <v>0</v>
      </c>
      <c r="K67" s="198">
        <f>+'B1'!Z117+'B2'!Z117+'B3'!Z117+'B4'!Z117+'B5'!Z117</f>
        <v>0</v>
      </c>
      <c r="L67" s="199">
        <f>+'B1'!AA117+'B2'!AA117+'B3'!AA117+'B4'!AA117+'B5'!AA117</f>
        <v>0</v>
      </c>
      <c r="M67" s="199">
        <f>+'B1'!AB117+'B2'!AB117+'B3'!AB117+'B4'!AB117+'B5'!AB117</f>
        <v>0</v>
      </c>
      <c r="N67" s="181">
        <f t="shared" si="17"/>
        <v>0</v>
      </c>
    </row>
    <row r="68" spans="2:14" x14ac:dyDescent="0.2">
      <c r="B68" s="192" t="s">
        <v>103</v>
      </c>
      <c r="C68" s="119"/>
      <c r="D68" s="21">
        <f>+'B1'!S118+'B2'!S118+'B3'!S118+'B4'!S118+'B5'!S118</f>
        <v>0</v>
      </c>
      <c r="E68" s="21">
        <f>+'B1'!T118+'B2'!T118+'B3'!T118+'B4'!T118+'B5'!T118</f>
        <v>0</v>
      </c>
      <c r="F68" s="21">
        <f>+'B1'!U118+'B2'!U118+'B3'!U118+'B4'!U118+'B5'!U118</f>
        <v>0</v>
      </c>
      <c r="G68" s="21">
        <f>+'B1'!V118+'B2'!V118+'B3'!V118+'B4'!V118+'B5'!V118</f>
        <v>0</v>
      </c>
      <c r="H68" s="21">
        <f>+'B1'!W118+'B2'!W118+'B3'!W118+'B4'!W118+'B5'!W118</f>
        <v>0</v>
      </c>
      <c r="I68" s="21">
        <f>+'B1'!X118+'B2'!X118+'B3'!X118+'B4'!X118+'B5'!X118</f>
        <v>0</v>
      </c>
      <c r="J68" s="119">
        <f>+'B1'!Y118+'B2'!Y118+'B3'!Y118+'B4'!Y118+'B5'!Y118</f>
        <v>0</v>
      </c>
      <c r="K68" s="21">
        <f>+'B1'!Z118+'B2'!Z118+'B3'!Z118+'B4'!Z118+'B5'!Z118</f>
        <v>0</v>
      </c>
      <c r="L68" s="119">
        <f>+'B1'!AA118+'B2'!AA118+'B3'!AA118+'B4'!AA118+'B5'!AA118</f>
        <v>0</v>
      </c>
      <c r="M68" s="119">
        <f>+'B1'!AB118+'B2'!AB118+'B3'!AB118+'B4'!AB118+'B5'!AB118</f>
        <v>0</v>
      </c>
      <c r="N68" s="181">
        <f t="shared" si="17"/>
        <v>0</v>
      </c>
    </row>
    <row r="69" spans="2:14" x14ac:dyDescent="0.2">
      <c r="B69" s="192" t="s">
        <v>108</v>
      </c>
      <c r="C69" s="119"/>
      <c r="D69" s="21">
        <f>+'B1'!S119+'B2'!S119+'B3'!S119+'B4'!S119+'B5'!S119</f>
        <v>0</v>
      </c>
      <c r="E69" s="21">
        <f>+'B1'!T119+'B2'!T119+'B3'!T119+'B4'!T119+'B5'!T119</f>
        <v>0</v>
      </c>
      <c r="F69" s="21">
        <f>+'B1'!U119+'B2'!U119+'B3'!U119+'B4'!U119+'B5'!U119</f>
        <v>0</v>
      </c>
      <c r="G69" s="21">
        <f>+'B1'!V119+'B2'!V119+'B3'!V119+'B4'!V119+'B5'!V119</f>
        <v>0</v>
      </c>
      <c r="H69" s="21">
        <f>+'B1'!W119+'B2'!W119+'B3'!W119+'B4'!W119+'B5'!W119</f>
        <v>0</v>
      </c>
      <c r="I69" s="21">
        <f>+'B1'!X119+'B2'!X119+'B3'!X119+'B4'!X119+'B5'!X119</f>
        <v>0</v>
      </c>
      <c r="J69" s="21">
        <f>+'B1'!Y119+'B2'!Y119+'B3'!Y119+'B4'!Y119+'B5'!Y119</f>
        <v>0</v>
      </c>
      <c r="K69" s="21">
        <f>+'B1'!Z119+'B2'!Z119+'B3'!Z119+'B4'!Z119+'B5'!Z119</f>
        <v>0</v>
      </c>
      <c r="L69" s="119">
        <f>+'B1'!AA119+'B2'!AA119+'B3'!AA119+'B4'!AA119+'B5'!AA119</f>
        <v>0</v>
      </c>
      <c r="M69" s="119">
        <f>+'B1'!AB119+'B2'!AB119+'B3'!AB119+'B4'!AB119+'B5'!AB119</f>
        <v>0</v>
      </c>
      <c r="N69" s="181">
        <f t="shared" si="17"/>
        <v>0</v>
      </c>
    </row>
    <row r="70" spans="2:14" x14ac:dyDescent="0.2">
      <c r="B70" s="191" t="s">
        <v>545</v>
      </c>
      <c r="C70" s="119"/>
      <c r="D70" s="21">
        <f>+'B1'!S120+'B2'!S120+'B3'!S120+'B4'!S120+'B5'!S120</f>
        <v>0</v>
      </c>
      <c r="E70" s="21">
        <f>+'B1'!T120+'B2'!T120+'B3'!T120+'B4'!T120+'B5'!T120</f>
        <v>0</v>
      </c>
      <c r="F70" s="21">
        <f>+'B1'!U120+'B2'!U120+'B3'!U120+'B4'!U120+'B5'!U120</f>
        <v>0</v>
      </c>
      <c r="G70" s="21">
        <f>+'B1'!V120+'B2'!V120+'B3'!V120+'B4'!V120+'B5'!V120</f>
        <v>0</v>
      </c>
      <c r="H70" s="21">
        <f>+'B1'!W120+'B2'!W120+'B3'!W120+'B4'!W120+'B5'!W120</f>
        <v>0</v>
      </c>
      <c r="I70" s="21">
        <f>+'B1'!X120+'B2'!X120+'B3'!X120+'B4'!X120+'B5'!X120</f>
        <v>0</v>
      </c>
      <c r="J70" s="21">
        <f>+'B1'!Y120+'B2'!Y120+'B3'!Y120+'B4'!Y120+'B5'!Y120</f>
        <v>0</v>
      </c>
      <c r="K70" s="21">
        <f>+'B1'!Z120+'B2'!Z120+'B3'!Z120+'B4'!Z120+'B5'!Z120</f>
        <v>0</v>
      </c>
      <c r="L70" s="119">
        <f>+'B1'!AA120+'B2'!AA120+'B3'!AA120+'B4'!AA120+'B5'!AA120</f>
        <v>0</v>
      </c>
      <c r="M70" s="119">
        <f>+'B1'!AB120+'B2'!AB120+'B3'!AB120+'B4'!AB120+'B5'!AB120</f>
        <v>0</v>
      </c>
      <c r="N70" s="181">
        <f t="shared" si="17"/>
        <v>0</v>
      </c>
    </row>
    <row r="71" spans="2:14" ht="15" thickBot="1" x14ac:dyDescent="0.25">
      <c r="B71" s="193" t="s">
        <v>101</v>
      </c>
      <c r="C71" s="194"/>
      <c r="D71" s="152">
        <f>+SUM(D66:D70)</f>
        <v>0</v>
      </c>
      <c r="E71" s="152">
        <f t="shared" ref="E71:K71" si="18">+SUM(E66:E70)</f>
        <v>0</v>
      </c>
      <c r="F71" s="152">
        <f t="shared" si="18"/>
        <v>0</v>
      </c>
      <c r="G71" s="152">
        <f t="shared" si="18"/>
        <v>0</v>
      </c>
      <c r="H71" s="152">
        <f t="shared" si="18"/>
        <v>0</v>
      </c>
      <c r="I71" s="152">
        <f t="shared" si="18"/>
        <v>0</v>
      </c>
      <c r="J71" s="152">
        <f t="shared" si="18"/>
        <v>0</v>
      </c>
      <c r="K71" s="152">
        <f t="shared" si="18"/>
        <v>0</v>
      </c>
      <c r="L71" s="194">
        <f t="shared" ref="L71:M71" si="19">+SUM(L66:L70)</f>
        <v>0</v>
      </c>
      <c r="M71" s="194">
        <f t="shared" si="19"/>
        <v>0</v>
      </c>
      <c r="N71" s="182">
        <f t="shared" si="17"/>
        <v>0</v>
      </c>
    </row>
  </sheetData>
  <sheetProtection algorithmName="SHA-512" hashValue="9qOMj1ifXfujHH8arkbbUsyLBLv8ACACPSQcEmnXixbbAkgLur2uWNgOk8g2bGFfVcrm6I1MBfB7iA//uUnkHg==" saltValue="2SqKYhJh5w33NpcHXCcPKA==" spinCount="100000" sheet="1" objects="1" scenarios="1"/>
  <pageMargins left="0.70866141732283472" right="0.70866141732283472" top="0.74803149606299213" bottom="0.74803149606299213" header="0.31496062992125984" footer="0.31496062992125984"/>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3BEB-4392-4547-8EAD-3A9E010466A5}">
  <sheetPr codeName="Ark19">
    <tabColor theme="4" tint="0.59999389629810485"/>
  </sheetPr>
  <dimension ref="A5:CF78"/>
  <sheetViews>
    <sheetView zoomScale="80" zoomScaleNormal="80" workbookViewId="0">
      <selection activeCell="E6" sqref="E6"/>
    </sheetView>
  </sheetViews>
  <sheetFormatPr defaultColWidth="9" defaultRowHeight="14.25" x14ac:dyDescent="0.2"/>
  <cols>
    <col min="1" max="1" width="3.625" customWidth="1"/>
    <col min="2" max="2" width="19.75" customWidth="1"/>
    <col min="3" max="3" width="1.5" customWidth="1"/>
    <col min="4" max="14" width="11.5" customWidth="1"/>
    <col min="15" max="15" width="2" customWidth="1"/>
    <col min="16" max="16" width="19.75" customWidth="1"/>
    <col min="17" max="17" width="1.5" customWidth="1"/>
    <col min="18" max="28" width="11.5" customWidth="1"/>
    <col min="29" max="29" width="1.5" customWidth="1"/>
    <col min="30" max="30" width="19.75" customWidth="1"/>
    <col min="31" max="31" width="1.5" customWidth="1"/>
    <col min="32" max="42" width="11.5" customWidth="1"/>
    <col min="43" max="43" width="1.625" customWidth="1"/>
    <col min="44" max="44" width="19.75" customWidth="1"/>
    <col min="45" max="45" width="1.5" customWidth="1"/>
    <col min="46" max="56" width="11.5" customWidth="1"/>
    <col min="57" max="57" width="2" customWidth="1"/>
    <col min="58" max="58" width="19.75" customWidth="1"/>
    <col min="59" max="59" width="1.5" customWidth="1"/>
    <col min="60" max="70" width="11.5" customWidth="1"/>
    <col min="71" max="71" width="2.375" customWidth="1"/>
    <col min="72" max="72" width="19.75" customWidth="1"/>
    <col min="73" max="73" width="1.5" customWidth="1"/>
    <col min="74" max="84" width="11.5" customWidth="1"/>
  </cols>
  <sheetData>
    <row r="5" spans="1:84" x14ac:dyDescent="0.2">
      <c r="B5" s="264" t="s">
        <v>785</v>
      </c>
      <c r="C5" s="265"/>
      <c r="D5" s="68" t="s">
        <v>23</v>
      </c>
    </row>
    <row r="8" spans="1:84" ht="15" thickBot="1" x14ac:dyDescent="0.25"/>
    <row r="9" spans="1:84" ht="18.75" thickBot="1" x14ac:dyDescent="0.3">
      <c r="B9" s="522" t="s">
        <v>807</v>
      </c>
      <c r="C9" s="523"/>
      <c r="D9" s="523"/>
      <c r="E9" s="523"/>
      <c r="F9" s="523"/>
      <c r="G9" s="523"/>
      <c r="H9" s="523"/>
      <c r="I9" s="523"/>
      <c r="J9" s="523"/>
      <c r="K9" s="523"/>
      <c r="L9" s="523"/>
      <c r="M9" s="523"/>
      <c r="N9" s="524"/>
      <c r="P9" s="522" t="s">
        <v>808</v>
      </c>
      <c r="Q9" s="523"/>
      <c r="R9" s="523"/>
      <c r="S9" s="523"/>
      <c r="T9" s="523"/>
      <c r="U9" s="523"/>
      <c r="V9" s="523"/>
      <c r="W9" s="523"/>
      <c r="X9" s="523"/>
      <c r="Y9" s="523"/>
      <c r="Z9" s="523"/>
      <c r="AA9" s="523"/>
      <c r="AB9" s="524"/>
      <c r="AD9" s="522" t="s">
        <v>809</v>
      </c>
      <c r="AE9" s="523"/>
      <c r="AF9" s="523"/>
      <c r="AG9" s="523"/>
      <c r="AH9" s="523"/>
      <c r="AI9" s="523"/>
      <c r="AJ9" s="523"/>
      <c r="AK9" s="523"/>
      <c r="AL9" s="523"/>
      <c r="AM9" s="523"/>
      <c r="AN9" s="523"/>
      <c r="AO9" s="523"/>
      <c r="AP9" s="524"/>
      <c r="AR9" s="522" t="s">
        <v>810</v>
      </c>
      <c r="AS9" s="523"/>
      <c r="AT9" s="523"/>
      <c r="AU9" s="523"/>
      <c r="AV9" s="523"/>
      <c r="AW9" s="523"/>
      <c r="AX9" s="523"/>
      <c r="AY9" s="523"/>
      <c r="AZ9" s="523"/>
      <c r="BA9" s="523"/>
      <c r="BB9" s="523"/>
      <c r="BC9" s="523"/>
      <c r="BD9" s="524"/>
      <c r="BF9" s="522" t="s">
        <v>811</v>
      </c>
      <c r="BG9" s="523"/>
      <c r="BH9" s="523"/>
      <c r="BI9" s="523"/>
      <c r="BJ9" s="523"/>
      <c r="BK9" s="523"/>
      <c r="BL9" s="523"/>
      <c r="BM9" s="523"/>
      <c r="BN9" s="523"/>
      <c r="BO9" s="523"/>
      <c r="BP9" s="523"/>
      <c r="BQ9" s="523"/>
      <c r="BR9" s="524"/>
      <c r="BT9" s="522" t="s">
        <v>812</v>
      </c>
      <c r="BU9" s="523"/>
      <c r="BV9" s="523"/>
      <c r="BW9" s="523"/>
      <c r="BX9" s="523"/>
      <c r="BY9" s="523"/>
      <c r="BZ9" s="523"/>
      <c r="CA9" s="523"/>
      <c r="CB9" s="523"/>
      <c r="CC9" s="523"/>
      <c r="CD9" s="523"/>
      <c r="CE9" s="523"/>
      <c r="CF9" s="524"/>
    </row>
    <row r="10" spans="1:84" ht="15" thickBot="1" x14ac:dyDescent="0.25"/>
    <row r="11" spans="1:84" s="5" customFormat="1" ht="19.899999999999999" customHeight="1" x14ac:dyDescent="0.25">
      <c r="A11" s="185"/>
      <c r="B11" s="186" t="s">
        <v>101</v>
      </c>
      <c r="C11" s="130"/>
      <c r="D11" s="130"/>
      <c r="E11" s="130"/>
      <c r="F11" s="130"/>
      <c r="G11" s="130"/>
      <c r="H11" s="130"/>
      <c r="I11" s="130"/>
      <c r="J11" s="130"/>
      <c r="K11" s="130"/>
      <c r="L11" s="130"/>
      <c r="M11" s="130"/>
      <c r="N11" s="172"/>
      <c r="O11" s="187"/>
      <c r="P11" s="186" t="s">
        <v>101</v>
      </c>
      <c r="Q11" s="130"/>
      <c r="R11" s="130"/>
      <c r="S11" s="130"/>
      <c r="T11" s="130"/>
      <c r="U11" s="130"/>
      <c r="V11" s="130"/>
      <c r="W11" s="130"/>
      <c r="X11" s="130"/>
      <c r="Y11" s="130"/>
      <c r="Z11" s="130"/>
      <c r="AA11" s="130"/>
      <c r="AB11" s="172"/>
      <c r="AC11" s="177"/>
      <c r="AD11" s="186" t="s">
        <v>101</v>
      </c>
      <c r="AE11" s="130"/>
      <c r="AF11" s="130"/>
      <c r="AG11" s="130"/>
      <c r="AH11" s="130"/>
      <c r="AI11" s="130"/>
      <c r="AJ11" s="130"/>
      <c r="AK11" s="130"/>
      <c r="AL11" s="130"/>
      <c r="AM11" s="130"/>
      <c r="AN11" s="130"/>
      <c r="AO11" s="130"/>
      <c r="AP11" s="172"/>
      <c r="AR11" s="186" t="s">
        <v>101</v>
      </c>
      <c r="AS11" s="130"/>
      <c r="AT11" s="130"/>
      <c r="AU11" s="130"/>
      <c r="AV11" s="130"/>
      <c r="AW11" s="130"/>
      <c r="AX11" s="130"/>
      <c r="AY11" s="130"/>
      <c r="AZ11" s="130"/>
      <c r="BA11" s="130"/>
      <c r="BB11" s="130"/>
      <c r="BC11" s="130"/>
      <c r="BD11" s="172"/>
      <c r="BF11" s="186" t="s">
        <v>101</v>
      </c>
      <c r="BG11" s="130"/>
      <c r="BH11" s="130"/>
      <c r="BI11" s="130"/>
      <c r="BJ11" s="130"/>
      <c r="BK11" s="130"/>
      <c r="BL11" s="130"/>
      <c r="BM11" s="130"/>
      <c r="BN11" s="130"/>
      <c r="BO11" s="130"/>
      <c r="BP11" s="130"/>
      <c r="BQ11" s="130"/>
      <c r="BR11" s="172"/>
      <c r="BT11" s="186" t="s">
        <v>101</v>
      </c>
      <c r="BU11" s="130"/>
      <c r="BV11" s="130"/>
      <c r="BW11" s="130"/>
      <c r="BX11" s="130"/>
      <c r="BY11" s="130"/>
      <c r="BZ11" s="130"/>
      <c r="CA11" s="130"/>
      <c r="CB11" s="130"/>
      <c r="CC11" s="130"/>
      <c r="CD11" s="130"/>
      <c r="CE11" s="130"/>
      <c r="CF11" s="172"/>
    </row>
    <row r="12" spans="1:84" x14ac:dyDescent="0.2">
      <c r="B12" s="161" t="str">
        <f>+$D$5</f>
        <v>EUR</v>
      </c>
      <c r="C12" s="4"/>
      <c r="D12" s="8">
        <v>2025</v>
      </c>
      <c r="E12" s="8">
        <f>+D12+1</f>
        <v>2026</v>
      </c>
      <c r="F12" s="8">
        <f t="shared" ref="F12:M12" si="0">+E12+1</f>
        <v>2027</v>
      </c>
      <c r="G12" s="8">
        <f t="shared" si="0"/>
        <v>2028</v>
      </c>
      <c r="H12" s="8">
        <f t="shared" si="0"/>
        <v>2029</v>
      </c>
      <c r="I12" s="8">
        <f t="shared" si="0"/>
        <v>2030</v>
      </c>
      <c r="J12" s="8">
        <f t="shared" si="0"/>
        <v>2031</v>
      </c>
      <c r="K12" s="8">
        <f t="shared" si="0"/>
        <v>2032</v>
      </c>
      <c r="L12" s="8">
        <f t="shared" si="0"/>
        <v>2033</v>
      </c>
      <c r="M12" s="8">
        <f t="shared" si="0"/>
        <v>2034</v>
      </c>
      <c r="N12" s="133" t="s">
        <v>34</v>
      </c>
      <c r="P12" s="161" t="str">
        <f>+$D$5</f>
        <v>EUR</v>
      </c>
      <c r="Q12" s="4"/>
      <c r="R12" s="8">
        <v>2025</v>
      </c>
      <c r="S12" s="8">
        <f>+R12+1</f>
        <v>2026</v>
      </c>
      <c r="T12" s="8">
        <f t="shared" ref="T12" si="1">+S12+1</f>
        <v>2027</v>
      </c>
      <c r="U12" s="8">
        <f t="shared" ref="U12" si="2">+T12+1</f>
        <v>2028</v>
      </c>
      <c r="V12" s="8">
        <f t="shared" ref="V12" si="3">+U12+1</f>
        <v>2029</v>
      </c>
      <c r="W12" s="8">
        <f t="shared" ref="W12" si="4">+V12+1</f>
        <v>2030</v>
      </c>
      <c r="X12" s="8">
        <f t="shared" ref="X12" si="5">+W12+1</f>
        <v>2031</v>
      </c>
      <c r="Y12" s="8">
        <f t="shared" ref="Y12" si="6">+X12+1</f>
        <v>2032</v>
      </c>
      <c r="Z12" s="8">
        <f t="shared" ref="Z12" si="7">+Y12+1</f>
        <v>2033</v>
      </c>
      <c r="AA12" s="8">
        <f t="shared" ref="AA12" si="8">+Z12+1</f>
        <v>2034</v>
      </c>
      <c r="AB12" s="133" t="s">
        <v>34</v>
      </c>
      <c r="AD12" s="161" t="str">
        <f>+$D$5</f>
        <v>EUR</v>
      </c>
      <c r="AE12" s="4"/>
      <c r="AF12" s="8">
        <v>2025</v>
      </c>
      <c r="AG12" s="8">
        <f>+AF12+1</f>
        <v>2026</v>
      </c>
      <c r="AH12" s="8">
        <f t="shared" ref="AH12" si="9">+AG12+1</f>
        <v>2027</v>
      </c>
      <c r="AI12" s="8">
        <f t="shared" ref="AI12" si="10">+AH12+1</f>
        <v>2028</v>
      </c>
      <c r="AJ12" s="8">
        <f t="shared" ref="AJ12" si="11">+AI12+1</f>
        <v>2029</v>
      </c>
      <c r="AK12" s="8">
        <f t="shared" ref="AK12" si="12">+AJ12+1</f>
        <v>2030</v>
      </c>
      <c r="AL12" s="8">
        <f t="shared" ref="AL12" si="13">+AK12+1</f>
        <v>2031</v>
      </c>
      <c r="AM12" s="8">
        <f t="shared" ref="AM12" si="14">+AL12+1</f>
        <v>2032</v>
      </c>
      <c r="AN12" s="8">
        <f t="shared" ref="AN12" si="15">+AM12+1</f>
        <v>2033</v>
      </c>
      <c r="AO12" s="8">
        <f t="shared" ref="AO12" si="16">+AN12+1</f>
        <v>2034</v>
      </c>
      <c r="AP12" s="133" t="s">
        <v>34</v>
      </c>
      <c r="AR12" s="161" t="str">
        <f>+$D$5</f>
        <v>EUR</v>
      </c>
      <c r="AS12" s="4"/>
      <c r="AT12" s="8">
        <v>2025</v>
      </c>
      <c r="AU12" s="8">
        <f>+AT12+1</f>
        <v>2026</v>
      </c>
      <c r="AV12" s="8">
        <f t="shared" ref="AV12" si="17">+AU12+1</f>
        <v>2027</v>
      </c>
      <c r="AW12" s="8">
        <f t="shared" ref="AW12" si="18">+AV12+1</f>
        <v>2028</v>
      </c>
      <c r="AX12" s="8">
        <f t="shared" ref="AX12" si="19">+AW12+1</f>
        <v>2029</v>
      </c>
      <c r="AY12" s="8">
        <f t="shared" ref="AY12" si="20">+AX12+1</f>
        <v>2030</v>
      </c>
      <c r="AZ12" s="8">
        <f t="shared" ref="AZ12" si="21">+AY12+1</f>
        <v>2031</v>
      </c>
      <c r="BA12" s="8">
        <f t="shared" ref="BA12" si="22">+AZ12+1</f>
        <v>2032</v>
      </c>
      <c r="BB12" s="8">
        <f t="shared" ref="BB12" si="23">+BA12+1</f>
        <v>2033</v>
      </c>
      <c r="BC12" s="8">
        <f t="shared" ref="BC12" si="24">+BB12+1</f>
        <v>2034</v>
      </c>
      <c r="BD12" s="133" t="s">
        <v>34</v>
      </c>
      <c r="BF12" s="161" t="str">
        <f>+$D$5</f>
        <v>EUR</v>
      </c>
      <c r="BG12" s="4"/>
      <c r="BH12" s="8">
        <v>2025</v>
      </c>
      <c r="BI12" s="8">
        <f>+BH12+1</f>
        <v>2026</v>
      </c>
      <c r="BJ12" s="8">
        <f t="shared" ref="BJ12" si="25">+BI12+1</f>
        <v>2027</v>
      </c>
      <c r="BK12" s="8">
        <f t="shared" ref="BK12" si="26">+BJ12+1</f>
        <v>2028</v>
      </c>
      <c r="BL12" s="8">
        <f t="shared" ref="BL12" si="27">+BK12+1</f>
        <v>2029</v>
      </c>
      <c r="BM12" s="8">
        <f t="shared" ref="BM12" si="28">+BL12+1</f>
        <v>2030</v>
      </c>
      <c r="BN12" s="8">
        <f t="shared" ref="BN12" si="29">+BM12+1</f>
        <v>2031</v>
      </c>
      <c r="BO12" s="8">
        <f t="shared" ref="BO12" si="30">+BN12+1</f>
        <v>2032</v>
      </c>
      <c r="BP12" s="8">
        <f t="shared" ref="BP12" si="31">+BO12+1</f>
        <v>2033</v>
      </c>
      <c r="BQ12" s="8">
        <f t="shared" ref="BQ12" si="32">+BP12+1</f>
        <v>2034</v>
      </c>
      <c r="BR12" s="133" t="s">
        <v>34</v>
      </c>
      <c r="BT12" s="161" t="str">
        <f>+$D$5</f>
        <v>EUR</v>
      </c>
      <c r="BU12" s="4"/>
      <c r="BV12" s="8">
        <v>2025</v>
      </c>
      <c r="BW12" s="8">
        <f>+BV12+1</f>
        <v>2026</v>
      </c>
      <c r="BX12" s="8">
        <f t="shared" ref="BX12" si="33">+BW12+1</f>
        <v>2027</v>
      </c>
      <c r="BY12" s="8">
        <f t="shared" ref="BY12" si="34">+BX12+1</f>
        <v>2028</v>
      </c>
      <c r="BZ12" s="8">
        <f t="shared" ref="BZ12" si="35">+BY12+1</f>
        <v>2029</v>
      </c>
      <c r="CA12" s="8">
        <f t="shared" ref="CA12" si="36">+BZ12+1</f>
        <v>2030</v>
      </c>
      <c r="CB12" s="8">
        <f t="shared" ref="CB12" si="37">+CA12+1</f>
        <v>2031</v>
      </c>
      <c r="CC12" s="8">
        <f t="shared" ref="CC12" si="38">+CB12+1</f>
        <v>2032</v>
      </c>
      <c r="CD12" s="8">
        <f t="shared" ref="CD12" si="39">+CC12+1</f>
        <v>2033</v>
      </c>
      <c r="CE12" s="8">
        <f t="shared" ref="CE12" si="40">+CD12+1</f>
        <v>2034</v>
      </c>
      <c r="CF12" s="133" t="s">
        <v>34</v>
      </c>
    </row>
    <row r="13" spans="1:84" x14ac:dyDescent="0.2">
      <c r="B13" s="189" t="s">
        <v>74</v>
      </c>
      <c r="C13" s="120"/>
      <c r="D13" s="28">
        <f>IFERROR((Total!D6/(VLOOKUP(D5,Currency!$A$2:$D$33,3,FALSE))*100),0)</f>
        <v>0</v>
      </c>
      <c r="E13" s="28">
        <f>IFERROR((Total!E6/(VLOOKUP(D5,Currency!$A$2:$D$33,3,FALSE))*100),0)</f>
        <v>124795.62572033558</v>
      </c>
      <c r="F13" s="28">
        <f>IFERROR((Total!F6/(VLOOKUP(D5,Currency!$A$2:$D$33,3,FALSE))*100),0)</f>
        <v>128615.0794714412</v>
      </c>
      <c r="G13" s="28">
        <f>IFERROR((Total!G6/(VLOOKUP(D5,Currency!$A$2:$D$33,3,FALSE))*100),0)</f>
        <v>132675.76188051142</v>
      </c>
      <c r="H13" s="28">
        <f>IFERROR((Total!H6/(VLOOKUP(D5,Currency!$A$2:$D$33,3,FALSE))*100),0)</f>
        <v>56688.734621673066</v>
      </c>
      <c r="I13" s="28">
        <f>IFERROR((Total!I6/(VLOOKUP(D5,Currency!$A$2:$D$33,3,FALSE))*100),0)</f>
        <v>0</v>
      </c>
      <c r="J13" s="28">
        <f>IFERROR((Total!J6/(VLOOKUP(D5,Currency!$A$2:$D$33,3,FALSE))*100),0)</f>
        <v>0</v>
      </c>
      <c r="K13" s="28">
        <f>IFERROR((Total!K6/(VLOOKUP(D5,Currency!$A$2:$D$33,3,FALSE))*100),0)</f>
        <v>0</v>
      </c>
      <c r="L13" s="28">
        <f>IFERROR((Total!L6/(VLOOKUP(D5,Currency!$A$2:$D$33,3,FALSE))*100),0)</f>
        <v>0</v>
      </c>
      <c r="M13" s="28">
        <f>IFERROR((Total!M6/(VLOOKUP(D5,Currency!$A$2:$D$33,3,FALSE))*100),0)</f>
        <v>0</v>
      </c>
      <c r="N13" s="173">
        <f>SUM(D13:M13)</f>
        <v>442775.20169396128</v>
      </c>
      <c r="P13" s="189" t="s">
        <v>74</v>
      </c>
      <c r="Q13" s="120"/>
      <c r="R13" s="28">
        <f>IFERROR(('B1'!S54/(VLOOKUP(D5,Currency!$A$2:$D$33,3,FALSE))*100),0)</f>
        <v>0</v>
      </c>
      <c r="S13" s="28">
        <f>IFERROR(('B1'!T54/(VLOOKUP(D5,Currency!$A$2:$D$33,3,FALSE))*100),0)</f>
        <v>124795.62572033558</v>
      </c>
      <c r="T13" s="28">
        <f>IFERROR(('B1'!U54/(VLOOKUP(D5,Currency!$A$2:$D$33,3,FALSE))*100),0)</f>
        <v>128615.0794714412</v>
      </c>
      <c r="U13" s="28">
        <f>IFERROR(('B1'!V54/(VLOOKUP(D5,Currency!$A$2:$D$33,3,FALSE))*100),0)</f>
        <v>132675.76188051142</v>
      </c>
      <c r="V13" s="28">
        <f>IFERROR(('B1'!W54/(VLOOKUP(D5,Currency!$A$2:$D$33,3,FALSE))*100),0)</f>
        <v>56688.734621673066</v>
      </c>
      <c r="W13" s="28">
        <f>IFERROR(('B1'!X54/(VLOOKUP(D5,Currency!$A$2:$D$33,3,FALSE))*100),0)</f>
        <v>0</v>
      </c>
      <c r="X13" s="28">
        <f>IFERROR(('B1'!Y54/(VLOOKUP(D5,Currency!$A$2:$D$33,3,FALSE))*100),0)</f>
        <v>0</v>
      </c>
      <c r="Y13" s="28">
        <f>IFERROR(('B1'!Z54/(VLOOKUP(D5,Currency!$A$2:$D$33,3,FALSE))*100),0)</f>
        <v>0</v>
      </c>
      <c r="Z13" s="28">
        <f>IFERROR(('B1'!AA54/(VLOOKUP(D5,Currency!$A$2:$D$33,3,FALSE))*100),0)</f>
        <v>0</v>
      </c>
      <c r="AA13" s="28">
        <f>IFERROR(('B1'!AB54/(VLOOKUP(D5,Currency!$A$2:$D$33,3,FALSE))*100),0)</f>
        <v>0</v>
      </c>
      <c r="AB13" s="173">
        <f>SUM(R13:AA13)</f>
        <v>442775.20169396128</v>
      </c>
      <c r="AD13" s="189" t="s">
        <v>74</v>
      </c>
      <c r="AE13" s="120"/>
      <c r="AF13" s="28">
        <f>IFERROR((+'B2'!S54/(VLOOKUP(D5,Currency!$A$2:$D$33,3,FALSE))*100),0)</f>
        <v>0</v>
      </c>
      <c r="AG13" s="28">
        <f>IFERROR((+'B2'!T54/(VLOOKUP(D5,Currency!$A$2:$D$33,3,FALSE))*100),0)</f>
        <v>0</v>
      </c>
      <c r="AH13" s="28">
        <f>IFERROR((+'B2'!U54/(VLOOKUP(D5,Currency!$A$2:$D$33,3,FALSE))*100),0)</f>
        <v>0</v>
      </c>
      <c r="AI13" s="28">
        <f>IFERROR((+'B2'!V54/(VLOOKUP(D5,Currency!$A$2:$D$33,3,FALSE))*100),0)</f>
        <v>0</v>
      </c>
      <c r="AJ13" s="28">
        <f>IFERROR((+'B2'!W54/(VLOOKUP(D5,Currency!$A$2:$D$33,3,FALSE))*100),0)</f>
        <v>0</v>
      </c>
      <c r="AK13" s="28">
        <f>IFERROR((+'B2'!X54/(VLOOKUP(D5,Currency!$A$2:$D$33,3,FALSE))*100),0)</f>
        <v>0</v>
      </c>
      <c r="AL13" s="28">
        <f>IFERROR((+'B2'!Y54/(VLOOKUP(D5,Currency!$A$2:$D$33,3,FALSE))*100),0)</f>
        <v>0</v>
      </c>
      <c r="AM13" s="28">
        <f>IFERROR((+'B2'!Z54/(VLOOKUP(D5,Currency!$A$2:$D$33,3,FALSE))*100),0)</f>
        <v>0</v>
      </c>
      <c r="AN13" s="28">
        <f>IFERROR((+'B2'!AA54/(VLOOKUP(D5,Currency!$A$2:$D$33,3,FALSE))*100),0)</f>
        <v>0</v>
      </c>
      <c r="AO13" s="28">
        <f>IFERROR((+'B2'!AB54/(VLOOKUP(D5,Currency!$A$2:$D$33,3,FALSE))*100),0)</f>
        <v>0</v>
      </c>
      <c r="AP13" s="173">
        <f>SUM(AF13:AO13)</f>
        <v>0</v>
      </c>
      <c r="AR13" s="189" t="s">
        <v>74</v>
      </c>
      <c r="AS13" s="120"/>
      <c r="AT13" s="28">
        <f>IFERROR((+'B3'!S54/(VLOOKUP(D5,Currency!$A$2:$D$33,3,FALSE))*100),0)</f>
        <v>0</v>
      </c>
      <c r="AU13" s="28">
        <f>IFERROR((+'B3'!T54/(VLOOKUP(D5,Currency!$A$2:$D$33,3,FALSE))*100),0)</f>
        <v>0</v>
      </c>
      <c r="AV13" s="28">
        <f>IFERROR((+'B3'!U54/(VLOOKUP(D5,Currency!$A$2:$D$33,3,FALSE))*100),0)</f>
        <v>0</v>
      </c>
      <c r="AW13" s="28">
        <f>IFERROR((+'B3'!V54/(VLOOKUP(D5,Currency!$A$2:$D$33,3,FALSE))*100),0)</f>
        <v>0</v>
      </c>
      <c r="AX13" s="28">
        <f>IFERROR((+'B3'!W54/(VLOOKUP(D5,Currency!$A$2:$D$33,3,FALSE))*100),0)</f>
        <v>0</v>
      </c>
      <c r="AY13" s="28">
        <f>IFERROR((+'B3'!X54/(VLOOKUP(D5,Currency!$A$2:$D$33,3,FALSE))*100),0)</f>
        <v>0</v>
      </c>
      <c r="AZ13" s="28">
        <f>IFERROR((+'B3'!Y54/(VLOOKUP(D5,Currency!$A$2:$D$33,3,FALSE))*100),0)</f>
        <v>0</v>
      </c>
      <c r="BA13" s="28">
        <f>IFERROR((+'B3'!Z54/(VLOOKUP(D5,Currency!$A$2:$D$33,3,FALSE))*100),0)</f>
        <v>0</v>
      </c>
      <c r="BB13" s="28">
        <f>IFERROR((+'B3'!AA54/(VLOOKUP(D5,Currency!$A$2:$D$33,3,FALSE))*100),0)</f>
        <v>0</v>
      </c>
      <c r="BC13" s="28">
        <f>IFERROR((+'B3'!AB54/(VLOOKUP(D5,Currency!$A$2:$D$33,3,FALSE))*100),0)</f>
        <v>0</v>
      </c>
      <c r="BD13" s="173">
        <f>SUM(AT13:BC13)</f>
        <v>0</v>
      </c>
      <c r="BF13" s="189" t="s">
        <v>74</v>
      </c>
      <c r="BG13" s="120"/>
      <c r="BH13" s="28">
        <f>IFERROR((+'B4'!S54/(VLOOKUP(D5,Currency!$A$2:$D$33,3,FALSE))*100),0)</f>
        <v>0</v>
      </c>
      <c r="BI13" s="28">
        <f>IFERROR((+'B4'!T54/(VLOOKUP(D5,Currency!$A$2:$D$33,3,FALSE))*100),0)</f>
        <v>0</v>
      </c>
      <c r="BJ13" s="28">
        <f>IFERROR((+'B4'!U54/(VLOOKUP(D5,Currency!$A$2:$D$33,3,FALSE))*100),0)</f>
        <v>0</v>
      </c>
      <c r="BK13" s="28">
        <f>IFERROR((+'B4'!V54/(VLOOKUP(D5,Currency!$A$2:$D$33,3,FALSE))*100),0)</f>
        <v>0</v>
      </c>
      <c r="BL13" s="28">
        <f>IFERROR((+'B4'!W54/(VLOOKUP(D5,Currency!$A$2:$D$33,3,FALSE))*100),0)</f>
        <v>0</v>
      </c>
      <c r="BM13" s="28">
        <f>IFERROR((+'B4'!X54/(VLOOKUP(D5,Currency!$A$2:$D$33,3,FALSE))*100),0)</f>
        <v>0</v>
      </c>
      <c r="BN13" s="28">
        <f>IFERROR((+'B4'!Y54/(VLOOKUP(D5,Currency!$A$2:$D$33,3,FALSE))*100),0)</f>
        <v>0</v>
      </c>
      <c r="BO13" s="28">
        <f>IFERROR((+'B4'!Z54/(VLOOKUP(D5,Currency!$A$2:$D$33,3,FALSE))*100),0)</f>
        <v>0</v>
      </c>
      <c r="BP13" s="28">
        <f>IFERROR((+'B4'!AA54/(VLOOKUP(D5,Currency!$A$2:$D$33,3,FALSE))*100),0)</f>
        <v>0</v>
      </c>
      <c r="BQ13" s="28">
        <f>IFERROR((+'B4'!AB54/(VLOOKUP(D5,Currency!$A$2:$D$33,3,FALSE))*100),0)</f>
        <v>0</v>
      </c>
      <c r="BR13" s="173">
        <f>SUM(BH13:BQ13)</f>
        <v>0</v>
      </c>
      <c r="BT13" s="189" t="s">
        <v>74</v>
      </c>
      <c r="BU13" s="120"/>
      <c r="BV13" s="28">
        <f>IFERROR((+'B5'!S54/(VLOOKUP(D5,Currency!$A$2:$D$33,3,FALSE))*100),0)</f>
        <v>0</v>
      </c>
      <c r="BW13" s="28">
        <f>IFERROR((+'B5'!T54/(VLOOKUP(D5,Currency!$A$2:$D$33,3,FALSE))*100),0)</f>
        <v>0</v>
      </c>
      <c r="BX13" s="28">
        <f>IFERROR((+'B5'!U54/(VLOOKUP(D5,Currency!$A$2:$D$33,3,FALSE))*100),0)</f>
        <v>0</v>
      </c>
      <c r="BY13" s="28">
        <f>IFERROR((+'B5'!V54/(VLOOKUP(D5,Currency!$A$2:$D$33,3,FALSE))*100),0)</f>
        <v>0</v>
      </c>
      <c r="BZ13" s="28">
        <f>IFERROR((+'B5'!W54/(VLOOKUP(D5,Currency!$A$2:$D$33,3,FALSE))*100),0)</f>
        <v>0</v>
      </c>
      <c r="CA13" s="28">
        <f>IFERROR((+'B5'!X54/(VLOOKUP(D5,Currency!$A$2:$D$33,3,FALSE))*100),0)</f>
        <v>0</v>
      </c>
      <c r="CB13" s="28">
        <f>IFERROR((+'B5'!Y54/(VLOOKUP(D5,Currency!$A$2:$D$33,3,FALSE))*100),0)</f>
        <v>0</v>
      </c>
      <c r="CC13" s="28">
        <f>IFERROR((+'B5'!Z54/(VLOOKUP(D5,Currency!$A$2:$D$33,3,FALSE))*100),0)</f>
        <v>0</v>
      </c>
      <c r="CD13" s="28">
        <f>IFERROR((+'B5'!AA54/(VLOOKUP(D5,Currency!$A$2:$D$33,3,FALSE))*100),0)</f>
        <v>0</v>
      </c>
      <c r="CE13" s="28">
        <f>IFERROR((+'B5'!AB54/(VLOOKUP(D5,Currency!$A$2:$D$33,3,FALSE))*100),0)</f>
        <v>0</v>
      </c>
      <c r="CF13" s="173">
        <f>SUM(BV13:CE13)</f>
        <v>0</v>
      </c>
    </row>
    <row r="14" spans="1:84" x14ac:dyDescent="0.2">
      <c r="B14" s="161" t="s">
        <v>75</v>
      </c>
      <c r="C14" s="121"/>
      <c r="D14" s="122">
        <f>IFERROR((Total!D7/(VLOOKUP(D5,Currency!$A$2:$D$33,3,FALSE))*100),0)</f>
        <v>0</v>
      </c>
      <c r="E14" s="122">
        <f>IFERROR((Total!E7/(VLOOKUP(D5,Currency!$A$2:$D$33,3,FALSE))*100),0)</f>
        <v>0</v>
      </c>
      <c r="F14" s="122">
        <f>IFERROR((Total!F7/(VLOOKUP(D5,Currency!$A$2:$D$33,3,FALSE))*100),0)</f>
        <v>0</v>
      </c>
      <c r="G14" s="122">
        <f>IFERROR((Total!G7/(VLOOKUP(D5,Currency!$A$2:$D$33,3,FALSE))*100),0)</f>
        <v>0</v>
      </c>
      <c r="H14" s="122">
        <f>IFERROR((Total!H7/(VLOOKUP(D5,Currency!$A$2:$D$33,3,FALSE))*100),0)</f>
        <v>0</v>
      </c>
      <c r="I14" s="122">
        <f>IFERROR((Total!I7/(VLOOKUP(D5,Currency!$A$2:$D$33,3,FALSE))*100),0)</f>
        <v>0</v>
      </c>
      <c r="J14" s="122">
        <f>IFERROR((Total!J7/(VLOOKUP(D5,Currency!$A$2:$D$33,3,FALSE))*100),0)</f>
        <v>0</v>
      </c>
      <c r="K14" s="122">
        <f>IFERROR((Total!K7/(VLOOKUP(D5,Currency!$A$2:$D$33,3,FALSE))*100),0)</f>
        <v>0</v>
      </c>
      <c r="L14" s="122">
        <f>IFERROR((Total!L7/(VLOOKUP(D5,Currency!$A$2:$D$33,3,FALSE))*100),0)</f>
        <v>0</v>
      </c>
      <c r="M14" s="122">
        <f>IFERROR((Total!M7/(VLOOKUP(D5,Currency!$A$2:$D$33,3,FALSE))*100),0)</f>
        <v>0</v>
      </c>
      <c r="N14" s="174">
        <f t="shared" ref="N14:N22" si="41">SUM(D14:M14)</f>
        <v>0</v>
      </c>
      <c r="P14" s="161" t="s">
        <v>75</v>
      </c>
      <c r="Q14" s="121"/>
      <c r="R14" s="122">
        <f>IFERROR(('B1'!S55/(VLOOKUP(D5,Currency!$A$2:$D$33,3,FALSE))*100),0)</f>
        <v>0</v>
      </c>
      <c r="S14" s="122">
        <f>IFERROR(('B1'!T55/(VLOOKUP(D5,Currency!$A$2:$D$33,3,FALSE))*100),0)</f>
        <v>0</v>
      </c>
      <c r="T14" s="122">
        <f>IFERROR(('B1'!U55/(VLOOKUP(D5,Currency!$A$2:$D$33,3,FALSE))*100),0)</f>
        <v>0</v>
      </c>
      <c r="U14" s="122">
        <f>IFERROR(('B1'!V55/(VLOOKUP(D5,Currency!$A$2:$D$33,3,FALSE))*100),0)</f>
        <v>0</v>
      </c>
      <c r="V14" s="122">
        <f>IFERROR(('B1'!W55/(VLOOKUP(D5,Currency!$A$2:$D$33,3,FALSE))*100),0)</f>
        <v>0</v>
      </c>
      <c r="W14" s="122">
        <f>IFERROR(('B1'!X55/(VLOOKUP(D5,Currency!$A$2:$D$33,3,FALSE))*100),0)</f>
        <v>0</v>
      </c>
      <c r="X14" s="122">
        <f>IFERROR(('B1'!Y55/(VLOOKUP(D5,Currency!$A$2:$D$33,3,FALSE))*100),0)</f>
        <v>0</v>
      </c>
      <c r="Y14" s="122">
        <f>IFERROR(('B1'!Z55/(VLOOKUP(D5,Currency!$A$2:$D$33,3,FALSE))*100),0)</f>
        <v>0</v>
      </c>
      <c r="Z14" s="122">
        <f>IFERROR(('B1'!AA55/(VLOOKUP(D5,Currency!$A$2:$D$33,3,FALSE))*100),0)</f>
        <v>0</v>
      </c>
      <c r="AA14" s="122">
        <f>IFERROR(('B1'!AB55/(VLOOKUP(D5,Currency!$A$2:$D$33,3,FALSE))*100),0)</f>
        <v>0</v>
      </c>
      <c r="AB14" s="174">
        <f t="shared" ref="AB14:AB22" si="42">SUM(R14:AA14)</f>
        <v>0</v>
      </c>
      <c r="AD14" s="161" t="s">
        <v>75</v>
      </c>
      <c r="AE14" s="121"/>
      <c r="AF14" s="122">
        <f>IFERROR((+'B2'!S55/(VLOOKUP(D5,Currency!$A$2:$D$33,3,FALSE))*100),0)</f>
        <v>0</v>
      </c>
      <c r="AG14" s="122">
        <f>IFERROR((+'B2'!T55/(VLOOKUP(D5,Currency!$A$2:$D$33,3,FALSE))*100),0)</f>
        <v>0</v>
      </c>
      <c r="AH14" s="122">
        <f>IFERROR((+'B2'!U55/(VLOOKUP(D5,Currency!$A$2:$D$33,3,FALSE))*100),0)</f>
        <v>0</v>
      </c>
      <c r="AI14" s="122">
        <f>IFERROR((+'B2'!V55/(VLOOKUP(D5,Currency!$A$2:$D$33,3,FALSE))*100),0)</f>
        <v>0</v>
      </c>
      <c r="AJ14" s="122">
        <f>IFERROR((+'B2'!W55/(VLOOKUP(D5,Currency!$A$2:$D$33,3,FALSE))*100),0)</f>
        <v>0</v>
      </c>
      <c r="AK14" s="122">
        <f>IFERROR((+'B2'!X55/(VLOOKUP(D5,Currency!$A$2:$D$33,3,FALSE))*100),0)</f>
        <v>0</v>
      </c>
      <c r="AL14" s="122">
        <f>IFERROR((+'B2'!Y55/(VLOOKUP(D5,Currency!$A$2:$D$33,3,FALSE))*100),0)</f>
        <v>0</v>
      </c>
      <c r="AM14" s="122">
        <f>IFERROR((+'B2'!Z55/(VLOOKUP(D5,Currency!$A$2:$D$33,3,FALSE))*100),0)</f>
        <v>0</v>
      </c>
      <c r="AN14" s="122">
        <f>IFERROR((+'B2'!AA55/(VLOOKUP(D5,Currency!$A$2:$D$33,3,FALSE))*100),0)</f>
        <v>0</v>
      </c>
      <c r="AO14" s="122">
        <f>IFERROR((+'B2'!AB55/(VLOOKUP(D5,Currency!$A$2:$D$33,3,FALSE))*100),0)</f>
        <v>0</v>
      </c>
      <c r="AP14" s="174">
        <f t="shared" ref="AP14:AP22" si="43">SUM(AF14:AO14)</f>
        <v>0</v>
      </c>
      <c r="AR14" s="161" t="s">
        <v>75</v>
      </c>
      <c r="AS14" s="121"/>
      <c r="AT14" s="122">
        <f>IFERROR((+'B3'!S55/(VLOOKUP(D5,Currency!$A$2:$D$33,3,FALSE))*100),0)</f>
        <v>0</v>
      </c>
      <c r="AU14" s="122">
        <f>IFERROR((+'B3'!T55/(VLOOKUP(D5,Currency!$A$2:$D$33,3,FALSE))*100),0)</f>
        <v>0</v>
      </c>
      <c r="AV14" s="122">
        <f>IFERROR((+'B3'!U55/(VLOOKUP(D5,Currency!$A$2:$D$33,3,FALSE))*100),0)</f>
        <v>0</v>
      </c>
      <c r="AW14" s="122">
        <f>IFERROR((+'B3'!V55/(VLOOKUP(D5,Currency!$A$2:$D$33,3,FALSE))*100),0)</f>
        <v>0</v>
      </c>
      <c r="AX14" s="122">
        <f>IFERROR((+'B3'!W55/(VLOOKUP(D5,Currency!$A$2:$D$33,3,FALSE))*100),0)</f>
        <v>0</v>
      </c>
      <c r="AY14" s="122">
        <f>IFERROR((+'B3'!X55/(VLOOKUP(D5,Currency!$A$2:$D$33,3,FALSE))*100),0)</f>
        <v>0</v>
      </c>
      <c r="AZ14" s="122">
        <f>IFERROR((+'B3'!Y55/(VLOOKUP(D5,Currency!$A$2:$D$33,3,FALSE))*100),0)</f>
        <v>0</v>
      </c>
      <c r="BA14" s="122">
        <f>IFERROR((+'B3'!Z55/(VLOOKUP(D5,Currency!$A$2:$D$33,3,FALSE))*100),0)</f>
        <v>0</v>
      </c>
      <c r="BB14" s="122">
        <f>IFERROR((+'B3'!AA55/(VLOOKUP(D5,Currency!$A$2:$D$33,3,FALSE))*100),0)</f>
        <v>0</v>
      </c>
      <c r="BC14" s="122">
        <f>IFERROR((+'B3'!AB55/(VLOOKUP(D5,Currency!$A$2:$D$33,3,FALSE))*100),0)</f>
        <v>0</v>
      </c>
      <c r="BD14" s="174">
        <f t="shared" ref="BD14:BD22" si="44">SUM(AT14:BC14)</f>
        <v>0</v>
      </c>
      <c r="BF14" s="161" t="s">
        <v>75</v>
      </c>
      <c r="BG14" s="121"/>
      <c r="BH14" s="122">
        <f>IFERROR((+'B4'!S55/(VLOOKUP(D5,Currency!$A$2:$D$33,3,FALSE))*100),0)</f>
        <v>0</v>
      </c>
      <c r="BI14" s="122">
        <f>IFERROR((+'B4'!T55/(VLOOKUP(D5,Currency!$A$2:$D$33,3,FALSE))*100),0)</f>
        <v>0</v>
      </c>
      <c r="BJ14" s="122">
        <f>IFERROR((+'B4'!U55/(VLOOKUP(D5,Currency!$A$2:$D$33,3,FALSE))*100),0)</f>
        <v>0</v>
      </c>
      <c r="BK14" s="122">
        <f>IFERROR((+'B4'!V55/(VLOOKUP(D5,Currency!$A$2:$D$33,3,FALSE))*100),0)</f>
        <v>0</v>
      </c>
      <c r="BL14" s="122">
        <f>IFERROR((+'B4'!W55/(VLOOKUP(D5,Currency!$A$2:$D$33,3,FALSE))*100),0)</f>
        <v>0</v>
      </c>
      <c r="BM14" s="122">
        <f>IFERROR((+'B4'!X55/(VLOOKUP(D5,Currency!$A$2:$D$33,3,FALSE))*100),0)</f>
        <v>0</v>
      </c>
      <c r="BN14" s="122">
        <f>IFERROR((+'B4'!Y55/(VLOOKUP(D5,Currency!$A$2:$D$33,3,FALSE))*100),0)</f>
        <v>0</v>
      </c>
      <c r="BO14" s="122">
        <f>IFERROR((+'B4'!Z55/(VLOOKUP(D5,Currency!$A$2:$D$33,3,FALSE))*100),0)</f>
        <v>0</v>
      </c>
      <c r="BP14" s="122">
        <f>IFERROR((+'B4'!AA55/(VLOOKUP(D5,Currency!$A$2:$D$33,3,FALSE))*100),0)</f>
        <v>0</v>
      </c>
      <c r="BQ14" s="122">
        <f>IFERROR((+'B4'!AB55/(VLOOKUP(D5,Currency!$A$2:$D$33,3,FALSE))*100),0)</f>
        <v>0</v>
      </c>
      <c r="BR14" s="174">
        <f t="shared" ref="BR14:BR22" si="45">SUM(BH14:BQ14)</f>
        <v>0</v>
      </c>
      <c r="BT14" s="161" t="s">
        <v>75</v>
      </c>
      <c r="BU14" s="121"/>
      <c r="BV14" s="122">
        <f>IFERROR((+'B5'!S55/(VLOOKUP(D5,Currency!$A$2:$D$33,3,FALSE))*100),0)</f>
        <v>0</v>
      </c>
      <c r="BW14" s="122">
        <f>IFERROR((+'B5'!T55/(VLOOKUP(D5,Currency!$A$2:$D$33,3,FALSE))*100),0)</f>
        <v>0</v>
      </c>
      <c r="BX14" s="122">
        <f>IFERROR((+'B5'!U55/(VLOOKUP(D5,Currency!$A$2:$D$33,3,FALSE))*100),0)</f>
        <v>0</v>
      </c>
      <c r="BY14" s="122">
        <f>IFERROR((+'B5'!V55/(VLOOKUP(D5,Currency!$A$2:$D$33,3,FALSE))*100),0)</f>
        <v>0</v>
      </c>
      <c r="BZ14" s="122">
        <f>IFERROR((+'B5'!W55/(VLOOKUP(D5,Currency!$A$2:$D$33,3,FALSE))*100),0)</f>
        <v>0</v>
      </c>
      <c r="CA14" s="122">
        <f>IFERROR((+'B5'!X55/(VLOOKUP(D5,Currency!$A$2:$D$33,3,FALSE))*100),0)</f>
        <v>0</v>
      </c>
      <c r="CB14" s="122">
        <f>IFERROR((+'B5'!Y55/(VLOOKUP(D5,Currency!$A$2:$D$33,3,FALSE))*100),0)</f>
        <v>0</v>
      </c>
      <c r="CC14" s="122">
        <f>IFERROR((+'B5'!Z55/(VLOOKUP(D5,Currency!$A$2:$D$33,3,FALSE))*100),0)</f>
        <v>0</v>
      </c>
      <c r="CD14" s="122">
        <f>IFERROR((+'B5'!AA55/(VLOOKUP(D5,Currency!$A$2:$D$33,3,FALSE))*100),0)</f>
        <v>0</v>
      </c>
      <c r="CE14" s="122">
        <f>IFERROR((+'B5'!AB55/(VLOOKUP(D5,Currency!$A$2:$D$33,3,FALSE))*100),0)</f>
        <v>0</v>
      </c>
      <c r="CF14" s="174">
        <f t="shared" ref="CF14:CF22" si="46">SUM(BV14:CE14)</f>
        <v>0</v>
      </c>
    </row>
    <row r="15" spans="1:84" x14ac:dyDescent="0.2">
      <c r="B15" s="190" t="s">
        <v>76</v>
      </c>
      <c r="C15" s="151"/>
      <c r="D15" s="146">
        <f>IFERROR((Total!D8/(VLOOKUP(D5,Currency!$A$2:$D$33,3,FALSE))*100),0)</f>
        <v>0</v>
      </c>
      <c r="E15" s="146">
        <f>IFERROR((Total!E8/(VLOOKUP(D5,Currency!$A$2:$D$33,3,FALSE))*100),0)</f>
        <v>124795.62572033558</v>
      </c>
      <c r="F15" s="146">
        <f>IFERROR((Total!F8/(VLOOKUP(D5,Currency!$A$2:$D$33,3,FALSE))*100),0)</f>
        <v>128615.0794714412</v>
      </c>
      <c r="G15" s="146">
        <f>IFERROR((Total!G8/(VLOOKUP(D5,Currency!$A$2:$D$33,3,FALSE))*100),0)</f>
        <v>132675.76188051142</v>
      </c>
      <c r="H15" s="146">
        <f>IFERROR((Total!H8/(VLOOKUP(D5,Currency!$A$2:$D$33,3,FALSE))*100),0)</f>
        <v>56688.734621673066</v>
      </c>
      <c r="I15" s="146">
        <f>IFERROR((Total!I8/(VLOOKUP(D5,Currency!$A$2:$D$33,3,FALSE))*100),0)</f>
        <v>0</v>
      </c>
      <c r="J15" s="146">
        <f>IFERROR((Total!J8/(VLOOKUP(D5,Currency!$A$2:$D$33,3,FALSE))*100),0)</f>
        <v>0</v>
      </c>
      <c r="K15" s="146">
        <f>IFERROR((Total!K8/(VLOOKUP(D5,Currency!$A$2:$D$33,3,FALSE))*100),0)</f>
        <v>0</v>
      </c>
      <c r="L15" s="146">
        <f>IFERROR((Total!L8/(VLOOKUP(D5,Currency!$A$2:$D$33,3,FALSE))*100),0)</f>
        <v>0</v>
      </c>
      <c r="M15" s="146">
        <f>IFERROR((Total!M8/(VLOOKUP(D5,Currency!$A$2:$D$33,3,FALSE))*100),0)</f>
        <v>0</v>
      </c>
      <c r="N15" s="175">
        <f t="shared" si="41"/>
        <v>442775.20169396128</v>
      </c>
      <c r="P15" s="190" t="s">
        <v>76</v>
      </c>
      <c r="Q15" s="151"/>
      <c r="R15" s="146">
        <f>IFERROR(('B1'!S56/(VLOOKUP(D5,Currency!$A$2:$D$33,3,FALSE))*100),0)</f>
        <v>0</v>
      </c>
      <c r="S15" s="146">
        <f>IFERROR(('B1'!T56/(VLOOKUP(D5,Currency!$A$2:$D$33,3,FALSE))*100),0)</f>
        <v>124795.62572033558</v>
      </c>
      <c r="T15" s="146">
        <f>IFERROR(('B1'!U56/(VLOOKUP(D5,Currency!$A$2:$D$33,3,FALSE))*100),0)</f>
        <v>128615.0794714412</v>
      </c>
      <c r="U15" s="146">
        <f>IFERROR(('B1'!V56/(VLOOKUP(D5,Currency!$A$2:$D$33,3,FALSE))*100),0)</f>
        <v>132675.76188051142</v>
      </c>
      <c r="V15" s="146">
        <f>IFERROR(('B1'!W56/(VLOOKUP(D5,Currency!$A$2:$D$33,3,FALSE))*100),0)</f>
        <v>56688.734621673066</v>
      </c>
      <c r="W15" s="146">
        <f>IFERROR(('B1'!X56/(VLOOKUP(D5,Currency!$A$2:$D$33,3,FALSE))*100),0)</f>
        <v>0</v>
      </c>
      <c r="X15" s="146">
        <f>IFERROR(('B1'!Y56/(VLOOKUP(D5,Currency!$A$2:$D$33,3,FALSE))*100),0)</f>
        <v>0</v>
      </c>
      <c r="Y15" s="146">
        <f>IFERROR(('B1'!Z56/(VLOOKUP(D5,Currency!$A$2:$D$33,3,FALSE))*100),0)</f>
        <v>0</v>
      </c>
      <c r="Z15" s="146">
        <f>IFERROR(('B1'!AA56/(VLOOKUP(D5,Currency!$A$2:$D$33,3,FALSE))*100),0)</f>
        <v>0</v>
      </c>
      <c r="AA15" s="146">
        <f>IFERROR(('B1'!AB56/(VLOOKUP(D5,Currency!$A$2:$D$33,3,FALSE))*100),0)</f>
        <v>0</v>
      </c>
      <c r="AB15" s="175">
        <f t="shared" si="42"/>
        <v>442775.20169396128</v>
      </c>
      <c r="AD15" s="190" t="s">
        <v>76</v>
      </c>
      <c r="AE15" s="151"/>
      <c r="AF15" s="146">
        <f>IFERROR((+'B2'!S56/(VLOOKUP(D5,Currency!$A$2:$D$33,3,FALSE))*100),0)</f>
        <v>0</v>
      </c>
      <c r="AG15" s="146">
        <f>IFERROR((+'B2'!T56/(VLOOKUP(D5,Currency!$A$2:$D$33,3,FALSE))*100),0)</f>
        <v>0</v>
      </c>
      <c r="AH15" s="146">
        <f>IFERROR((+'B2'!U56/(VLOOKUP(D5,Currency!$A$2:$D$33,3,FALSE))*100),0)</f>
        <v>0</v>
      </c>
      <c r="AI15" s="146">
        <f>IFERROR((+'B2'!V56/(VLOOKUP(D5,Currency!$A$2:$D$33,3,FALSE))*100),0)</f>
        <v>0</v>
      </c>
      <c r="AJ15" s="146">
        <f>IFERROR((+'B2'!W56/(VLOOKUP(D5,Currency!$A$2:$D$33,3,FALSE))*100),0)</f>
        <v>0</v>
      </c>
      <c r="AK15" s="146">
        <f>IFERROR((+'B2'!X56/(VLOOKUP(D5,Currency!$A$2:$D$33,3,FALSE))*100),0)</f>
        <v>0</v>
      </c>
      <c r="AL15" s="146">
        <f>IFERROR((+'B2'!Y56/(VLOOKUP(D5,Currency!$A$2:$D$33,3,FALSE))*100),0)</f>
        <v>0</v>
      </c>
      <c r="AM15" s="146">
        <f>IFERROR((+'B2'!Z56/(VLOOKUP(D5,Currency!$A$2:$D$33,3,FALSE))*100),0)</f>
        <v>0</v>
      </c>
      <c r="AN15" s="146">
        <f>IFERROR((+'B2'!AA56/(VLOOKUP(D5,Currency!$A$2:$D$33,3,FALSE))*100),0)</f>
        <v>0</v>
      </c>
      <c r="AO15" s="146">
        <f>IFERROR((+'B2'!AB56/(VLOOKUP(D5,Currency!$A$2:$D$33,3,FALSE))*100),0)</f>
        <v>0</v>
      </c>
      <c r="AP15" s="175">
        <f t="shared" si="43"/>
        <v>0</v>
      </c>
      <c r="AR15" s="190" t="s">
        <v>76</v>
      </c>
      <c r="AS15" s="151"/>
      <c r="AT15" s="146">
        <f>IFERROR((+'B3'!S56/(VLOOKUP(D5,Currency!$A$2:$D$33,3,FALSE))*100),0)</f>
        <v>0</v>
      </c>
      <c r="AU15" s="146">
        <f>IFERROR((+'B3'!T56/(VLOOKUP(D5,Currency!$A$2:$D$33,3,FALSE))*100),0)</f>
        <v>0</v>
      </c>
      <c r="AV15" s="146">
        <f>IFERROR((+'B3'!U56/(VLOOKUP(D5,Currency!$A$2:$D$33,3,FALSE))*100),0)</f>
        <v>0</v>
      </c>
      <c r="AW15" s="146">
        <f>IFERROR((+'B3'!V56/(VLOOKUP(D5,Currency!$A$2:$D$33,3,FALSE))*100),0)</f>
        <v>0</v>
      </c>
      <c r="AX15" s="146">
        <f>IFERROR((+'B3'!W56/(VLOOKUP(D5,Currency!$A$2:$D$33,3,FALSE))*100),0)</f>
        <v>0</v>
      </c>
      <c r="AY15" s="146">
        <f>IFERROR((+'B3'!X56/(VLOOKUP(D5,Currency!$A$2:$D$33,3,FALSE))*100),0)</f>
        <v>0</v>
      </c>
      <c r="AZ15" s="146">
        <f>IFERROR((+'B3'!Y56/(VLOOKUP(D5,Currency!$A$2:$D$33,3,FALSE))*100),0)</f>
        <v>0</v>
      </c>
      <c r="BA15" s="146">
        <f>IFERROR((+'B3'!Z56/(VLOOKUP(D5,Currency!$A$2:$D$33,3,FALSE))*100),0)</f>
        <v>0</v>
      </c>
      <c r="BB15" s="146">
        <f>IFERROR((+'B3'!AA56/(VLOOKUP(D5,Currency!$A$2:$D$33,3,FALSE))*100),0)</f>
        <v>0</v>
      </c>
      <c r="BC15" s="146">
        <f>IFERROR((+'B3'!AB56/(VLOOKUP(D5,Currency!$A$2:$D$33,3,FALSE))*100),0)</f>
        <v>0</v>
      </c>
      <c r="BD15" s="175">
        <f t="shared" si="44"/>
        <v>0</v>
      </c>
      <c r="BF15" s="190" t="s">
        <v>76</v>
      </c>
      <c r="BG15" s="151"/>
      <c r="BH15" s="146">
        <f>IFERROR((+'B4'!S56/(VLOOKUP(D5,Currency!$A$2:$D$33,3,FALSE))*100),0)</f>
        <v>0</v>
      </c>
      <c r="BI15" s="146">
        <f>IFERROR((+'B4'!T56/(VLOOKUP(D5,Currency!$A$2:$D$33,3,FALSE))*100),0)</f>
        <v>0</v>
      </c>
      <c r="BJ15" s="146">
        <f>IFERROR((+'B4'!U56/(VLOOKUP(D5,Currency!$A$2:$D$33,3,FALSE))*100),0)</f>
        <v>0</v>
      </c>
      <c r="BK15" s="146">
        <f>IFERROR((+'B4'!V56/(VLOOKUP(D5,Currency!$A$2:$D$33,3,FALSE))*100),0)</f>
        <v>0</v>
      </c>
      <c r="BL15" s="146">
        <f>IFERROR((+'B4'!W56/(VLOOKUP(D5,Currency!$A$2:$D$33,3,FALSE))*100),0)</f>
        <v>0</v>
      </c>
      <c r="BM15" s="146">
        <f>IFERROR((+'B4'!X56/(VLOOKUP(D5,Currency!$A$2:$D$33,3,FALSE))*100),0)</f>
        <v>0</v>
      </c>
      <c r="BN15" s="146">
        <f>IFERROR((+'B4'!Y56/(VLOOKUP(D5,Currency!$A$2:$D$33,3,FALSE))*100),0)</f>
        <v>0</v>
      </c>
      <c r="BO15" s="146">
        <f>IFERROR((+'B4'!Z56/(VLOOKUP(D5,Currency!$A$2:$D$33,3,FALSE))*100),0)</f>
        <v>0</v>
      </c>
      <c r="BP15" s="146">
        <f>IFERROR((+'B4'!AA56/(VLOOKUP(D5,Currency!$A$2:$D$33,3,FALSE))*100),0)</f>
        <v>0</v>
      </c>
      <c r="BQ15" s="146">
        <f>IFERROR((+'B4'!AB56/(VLOOKUP(D5,Currency!$A$2:$D$33,3,FALSE))*100),0)</f>
        <v>0</v>
      </c>
      <c r="BR15" s="175">
        <f t="shared" si="45"/>
        <v>0</v>
      </c>
      <c r="BT15" s="190" t="s">
        <v>76</v>
      </c>
      <c r="BU15" s="151"/>
      <c r="BV15" s="146">
        <f>IFERROR((+'B5'!S56/(VLOOKUP(D5,Currency!$A$2:$D$33,3,FALSE))*100),0)</f>
        <v>0</v>
      </c>
      <c r="BW15" s="146">
        <f>IFERROR((+'B5'!T56/(VLOOKUP(D5,Currency!$A$2:$D$33,3,FALSE))*100),0)</f>
        <v>0</v>
      </c>
      <c r="BX15" s="146">
        <f>IFERROR((+'B5'!U56/(VLOOKUP(D5,Currency!$A$2:$D$33,3,FALSE))*100),0)</f>
        <v>0</v>
      </c>
      <c r="BY15" s="146">
        <f>IFERROR((+'B5'!V56/(VLOOKUP(D5,Currency!$A$2:$D$33,3,FALSE))*100),0)</f>
        <v>0</v>
      </c>
      <c r="BZ15" s="146">
        <f>IFERROR((+'B5'!W56/(VLOOKUP(D5,Currency!$A$2:$D$33,3,FALSE))*100),0)</f>
        <v>0</v>
      </c>
      <c r="CA15" s="146">
        <f>IFERROR((+'B5'!X56/(VLOOKUP(D5,Currency!$A$2:$D$33,3,FALSE))*100),0)</f>
        <v>0</v>
      </c>
      <c r="CB15" s="146">
        <f>IFERROR((+'B5'!Y56/(VLOOKUP(D5,Currency!$A$2:$D$33,3,FALSE))*100),0)</f>
        <v>0</v>
      </c>
      <c r="CC15" s="146">
        <f>IFERROR((+'B5'!Z56/(VLOOKUP(D5,Currency!$A$2:$D$33,3,FALSE))*100),0)</f>
        <v>0</v>
      </c>
      <c r="CD15" s="146">
        <f>IFERROR((+'B5'!AA56/(VLOOKUP(D5,Currency!$A$2:$D$33,3,FALSE))*100),0)</f>
        <v>0</v>
      </c>
      <c r="CE15" s="146">
        <f>IFERROR((+'B5'!AB56/(VLOOKUP(D5,Currency!$A$2:$D$33,3,FALSE))*100),0)</f>
        <v>0</v>
      </c>
      <c r="CF15" s="175">
        <f t="shared" si="46"/>
        <v>0</v>
      </c>
    </row>
    <row r="16" spans="1:84" x14ac:dyDescent="0.2">
      <c r="B16" s="190" t="s">
        <v>77</v>
      </c>
      <c r="C16" s="151"/>
      <c r="D16" s="146">
        <f>IFERROR((Total!D9/(VLOOKUP(D5,Currency!$A$2:$D$33,3,FALSE))*100),0)</f>
        <v>0</v>
      </c>
      <c r="E16" s="146">
        <f>IFERROR((Total!E9/(VLOOKUP(D5,Currency!$A$2:$D$33,3,FALSE))*100),0)</f>
        <v>19432.308558256722</v>
      </c>
      <c r="F16" s="146">
        <f>IFERROR((Total!F9/(VLOOKUP(D5,Currency!$A$2:$D$33,3,FALSE))*100),0)</f>
        <v>22112.626980085235</v>
      </c>
      <c r="G16" s="146">
        <f>IFERROR((Total!G9/(VLOOKUP(D5,Currency!$A$2:$D$33,3,FALSE))*100),0)</f>
        <v>19432.308558256722</v>
      </c>
      <c r="H16" s="146">
        <f>IFERROR((Total!H9/(VLOOKUP(D5,Currency!$A$2:$D$33,3,FALSE))*100),0)</f>
        <v>21777.587177356672</v>
      </c>
      <c r="I16" s="146">
        <f>IFERROR((Total!I9/(VLOOKUP(D5,Currency!$A$2:$D$33,3,FALSE))*100),0)</f>
        <v>0</v>
      </c>
      <c r="J16" s="146">
        <f>IFERROR((Total!J9/(VLOOKUP(D5,Currency!$A$2:$D$33,3,FALSE))*100),0)</f>
        <v>0</v>
      </c>
      <c r="K16" s="146">
        <f>IFERROR((Total!K9/(VLOOKUP(D5,Currency!$A$2:$D$33,3,FALSE))*100),0)</f>
        <v>0</v>
      </c>
      <c r="L16" s="146">
        <f>IFERROR((Total!L9/(VLOOKUP(D5,Currency!$A$2:$D$33,3,FALSE))*100),0)</f>
        <v>0</v>
      </c>
      <c r="M16" s="146">
        <f>IFERROR((Total!M9/(VLOOKUP(D5,Currency!$A$2:$D$33,3,FALSE))*100),0)</f>
        <v>0</v>
      </c>
      <c r="N16" s="175">
        <f t="shared" si="41"/>
        <v>82754.831273955351</v>
      </c>
      <c r="P16" s="190" t="s">
        <v>77</v>
      </c>
      <c r="Q16" s="151"/>
      <c r="R16" s="146">
        <f>IFERROR(('B1'!S57/(VLOOKUP(D5,Currency!$A$2:$D$33,3,FALSE))*100),0)</f>
        <v>0</v>
      </c>
      <c r="S16" s="146">
        <f>IFERROR(('B1'!T57/(VLOOKUP(D5,Currency!$A$2:$D$33,3,FALSE))*100),0)</f>
        <v>19432.308558256722</v>
      </c>
      <c r="T16" s="146">
        <f>IFERROR(('B1'!U57/(VLOOKUP(D5,Currency!$A$2:$D$33,3,FALSE))*100),0)</f>
        <v>22112.626980085235</v>
      </c>
      <c r="U16" s="146">
        <f>IFERROR(('B1'!V57/(VLOOKUP(D5,Currency!$A$2:$D$33,3,FALSE))*100),0)</f>
        <v>19432.308558256722</v>
      </c>
      <c r="V16" s="146">
        <f>IFERROR(('B1'!W57/(VLOOKUP(D5,Currency!$A$2:$D$33,3,FALSE))*100),0)</f>
        <v>21777.587177356672</v>
      </c>
      <c r="W16" s="146">
        <f>IFERROR(('B1'!X57/(VLOOKUP(D5,Currency!$A$2:$D$33,3,FALSE))*100),0)</f>
        <v>0</v>
      </c>
      <c r="X16" s="146">
        <f>IFERROR(('B1'!Y57/(VLOOKUP(D5,Currency!$A$2:$D$33,3,FALSE))*100),0)</f>
        <v>0</v>
      </c>
      <c r="Y16" s="146">
        <f>IFERROR(('B1'!Z57/(VLOOKUP(D5,Currency!$A$2:$D$33,3,FALSE))*100),0)</f>
        <v>0</v>
      </c>
      <c r="Z16" s="146">
        <f>IFERROR(('B1'!AA57/(VLOOKUP(D5,Currency!$A$2:$D$33,3,FALSE))*100),0)</f>
        <v>0</v>
      </c>
      <c r="AA16" s="146">
        <f>IFERROR(('B1'!AB57/(VLOOKUP(D5,Currency!$A$2:$D$33,3,FALSE))*100),0)</f>
        <v>0</v>
      </c>
      <c r="AB16" s="175">
        <f t="shared" si="42"/>
        <v>82754.831273955351</v>
      </c>
      <c r="AD16" s="190" t="s">
        <v>77</v>
      </c>
      <c r="AE16" s="151"/>
      <c r="AF16" s="146">
        <f>IFERROR((+'B2'!S57/(VLOOKUP(D5,Currency!$A$2:$D$33,3,FALSE))*100),0)</f>
        <v>0</v>
      </c>
      <c r="AG16" s="146">
        <f>IFERROR((+'B2'!T57/(VLOOKUP(D5,Currency!$A$2:$D$33,3,FALSE))*100),0)</f>
        <v>0</v>
      </c>
      <c r="AH16" s="146">
        <f>IFERROR((+'B2'!U57/(VLOOKUP(D5,Currency!$A$2:$D$33,3,FALSE))*100),0)</f>
        <v>0</v>
      </c>
      <c r="AI16" s="146">
        <f>IFERROR((+'B2'!V57/(VLOOKUP(D5,Currency!$A$2:$D$33,3,FALSE))*100),0)</f>
        <v>0</v>
      </c>
      <c r="AJ16" s="146">
        <f>IFERROR((+'B2'!W57/(VLOOKUP(D5,Currency!$A$2:$D$33,3,FALSE))*100),0)</f>
        <v>0</v>
      </c>
      <c r="AK16" s="146">
        <f>IFERROR((+'B2'!X57/(VLOOKUP(D5,Currency!$A$2:$D$33,3,FALSE))*100),0)</f>
        <v>0</v>
      </c>
      <c r="AL16" s="146">
        <f>IFERROR((+'B2'!Y57/(VLOOKUP(D5,Currency!$A$2:$D$33,3,FALSE))*100),0)</f>
        <v>0</v>
      </c>
      <c r="AM16" s="146">
        <f>IFERROR((+'B2'!Z57/(VLOOKUP(D5,Currency!$A$2:$D$33,3,FALSE))*100),0)</f>
        <v>0</v>
      </c>
      <c r="AN16" s="146">
        <f>IFERROR((+'B2'!AA57/(VLOOKUP(D5,Currency!$A$2:$D$33,3,FALSE))*100),0)</f>
        <v>0</v>
      </c>
      <c r="AO16" s="146">
        <f>IFERROR((+'B2'!AB57/(VLOOKUP(D5,Currency!$A$2:$D$33,3,FALSE))*100),0)</f>
        <v>0</v>
      </c>
      <c r="AP16" s="175">
        <f t="shared" si="43"/>
        <v>0</v>
      </c>
      <c r="AR16" s="190" t="s">
        <v>77</v>
      </c>
      <c r="AS16" s="151"/>
      <c r="AT16" s="146">
        <f>IFERROR((+'B3'!S57/(VLOOKUP(D5,Currency!$A$2:$D$33,3,FALSE))*100),0)</f>
        <v>0</v>
      </c>
      <c r="AU16" s="146">
        <f>IFERROR((+'B3'!T57/(VLOOKUP(D5,Currency!$A$2:$D$33,3,FALSE))*100),0)</f>
        <v>0</v>
      </c>
      <c r="AV16" s="146">
        <f>IFERROR((+'B3'!U57/(VLOOKUP(D5,Currency!$A$2:$D$33,3,FALSE))*100),0)</f>
        <v>0</v>
      </c>
      <c r="AW16" s="146">
        <f>IFERROR((+'B3'!V57/(VLOOKUP(D5,Currency!$A$2:$D$33,3,FALSE))*100),0)</f>
        <v>0</v>
      </c>
      <c r="AX16" s="146">
        <f>IFERROR((+'B3'!W57/(VLOOKUP(D5,Currency!$A$2:$D$33,3,FALSE))*100),0)</f>
        <v>0</v>
      </c>
      <c r="AY16" s="146">
        <f>IFERROR((+'B3'!X57/(VLOOKUP(D5,Currency!$A$2:$D$33,3,FALSE))*100),0)</f>
        <v>0</v>
      </c>
      <c r="AZ16" s="146">
        <f>IFERROR((+'B3'!Y57/(VLOOKUP(D5,Currency!$A$2:$D$33,3,FALSE))*100),0)</f>
        <v>0</v>
      </c>
      <c r="BA16" s="146">
        <f>IFERROR((+'B3'!Z57/(VLOOKUP(D5,Currency!$A$2:$D$33,3,FALSE))*100),0)</f>
        <v>0</v>
      </c>
      <c r="BB16" s="146">
        <f>IFERROR((+'B3'!AA57/(VLOOKUP(D5,Currency!$A$2:$D$33,3,FALSE))*100),0)</f>
        <v>0</v>
      </c>
      <c r="BC16" s="146">
        <f>IFERROR((+'B3'!AB57/(VLOOKUP(D5,Currency!$A$2:$D$33,3,FALSE))*100),0)</f>
        <v>0</v>
      </c>
      <c r="BD16" s="175">
        <f t="shared" si="44"/>
        <v>0</v>
      </c>
      <c r="BF16" s="190" t="s">
        <v>77</v>
      </c>
      <c r="BG16" s="151"/>
      <c r="BH16" s="146">
        <f>IFERROR((+'B4'!S57/(VLOOKUP(D5,Currency!$A$2:$D$33,3,FALSE))*100),0)</f>
        <v>0</v>
      </c>
      <c r="BI16" s="146">
        <f>IFERROR((+'B4'!T57/(VLOOKUP(D5,Currency!$A$2:$D$33,3,FALSE))*100),0)</f>
        <v>0</v>
      </c>
      <c r="BJ16" s="146">
        <f>IFERROR((+'B4'!U57/(VLOOKUP(D5,Currency!$A$2:$D$33,3,FALSE))*100),0)</f>
        <v>0</v>
      </c>
      <c r="BK16" s="146">
        <f>IFERROR((+'B4'!V57/(VLOOKUP(D5,Currency!$A$2:$D$33,3,FALSE))*100),0)</f>
        <v>0</v>
      </c>
      <c r="BL16" s="146">
        <f>IFERROR((+'B4'!W57/(VLOOKUP(D5,Currency!$A$2:$D$33,3,FALSE))*100),0)</f>
        <v>0</v>
      </c>
      <c r="BM16" s="146">
        <f>IFERROR((+'B4'!X57/(VLOOKUP(D5,Currency!$A$2:$D$33,3,FALSE))*100),0)</f>
        <v>0</v>
      </c>
      <c r="BN16" s="146">
        <f>IFERROR((+'B4'!Y57/(VLOOKUP(D5,Currency!$A$2:$D$33,3,FALSE))*100),0)</f>
        <v>0</v>
      </c>
      <c r="BO16" s="146">
        <f>IFERROR((+'B4'!Z57/(VLOOKUP(D5,Currency!$A$2:$D$33,3,FALSE))*100),0)</f>
        <v>0</v>
      </c>
      <c r="BP16" s="146">
        <f>IFERROR((+'B4'!AA57/(VLOOKUP(D5,Currency!$A$2:$D$33,3,FALSE))*100),0)</f>
        <v>0</v>
      </c>
      <c r="BQ16" s="146">
        <f>IFERROR((+'B4'!AB57/(VLOOKUP(D5,Currency!$A$2:$D$33,3,FALSE))*100),0)</f>
        <v>0</v>
      </c>
      <c r="BR16" s="175">
        <f t="shared" si="45"/>
        <v>0</v>
      </c>
      <c r="BT16" s="190" t="s">
        <v>77</v>
      </c>
      <c r="BU16" s="151"/>
      <c r="BV16" s="146">
        <f>IFERROR((+'B5'!S57/(VLOOKUP(D5,Currency!$A$2:$D$33,3,FALSE))*100),0)</f>
        <v>0</v>
      </c>
      <c r="BW16" s="146">
        <f>IFERROR((+'B5'!T57/(VLOOKUP(D5,Currency!$A$2:$D$33,3,FALSE))*100),0)</f>
        <v>0</v>
      </c>
      <c r="BX16" s="146">
        <f>IFERROR((+'B5'!U57/(VLOOKUP(D5,Currency!$A$2:$D$33,3,FALSE))*100),0)</f>
        <v>0</v>
      </c>
      <c r="BY16" s="146">
        <f>IFERROR((+'B5'!V57/(VLOOKUP(D5,Currency!$A$2:$D$33,3,FALSE))*100),0)</f>
        <v>0</v>
      </c>
      <c r="BZ16" s="146">
        <f>IFERROR((+'B5'!W57/(VLOOKUP(D5,Currency!$A$2:$D$33,3,FALSE))*100),0)</f>
        <v>0</v>
      </c>
      <c r="CA16" s="146">
        <f>IFERROR((+'B5'!X57/(VLOOKUP(D5,Currency!$A$2:$D$33,3,FALSE))*100),0)</f>
        <v>0</v>
      </c>
      <c r="CB16" s="146">
        <f>IFERROR((+'B5'!Y57/(VLOOKUP(D5,Currency!$A$2:$D$33,3,FALSE))*100),0)</f>
        <v>0</v>
      </c>
      <c r="CC16" s="146">
        <f>IFERROR((+'B5'!Z57/(VLOOKUP(D5,Currency!$A$2:$D$33,3,FALSE))*100),0)</f>
        <v>0</v>
      </c>
      <c r="CD16" s="146">
        <f>IFERROR((+'B5'!AA57/(VLOOKUP(D5,Currency!$A$2:$D$33,3,FALSE))*100),0)</f>
        <v>0</v>
      </c>
      <c r="CE16" s="146">
        <f>IFERROR((+'B5'!AB57/(VLOOKUP(D5,Currency!$A$2:$D$33,3,FALSE))*100),0)</f>
        <v>0</v>
      </c>
      <c r="CF16" s="175">
        <f t="shared" si="46"/>
        <v>0</v>
      </c>
    </row>
    <row r="17" spans="2:84" x14ac:dyDescent="0.2">
      <c r="B17" s="190" t="s">
        <v>78</v>
      </c>
      <c r="C17" s="151"/>
      <c r="D17" s="146">
        <f>IFERROR((Total!D10/(VLOOKUP(D5,Currency!$A$2:$D$33,3,FALSE))*100),0)</f>
        <v>0</v>
      </c>
      <c r="E17" s="146">
        <f>IFERROR((Total!E10/(VLOOKUP(D5,Currency!$A$2:$D$33,3,FALSE))*100),0)</f>
        <v>144227.93427859229</v>
      </c>
      <c r="F17" s="146">
        <f>IFERROR((Total!F10/(VLOOKUP(D5,Currency!$A$2:$D$33,3,FALSE))*100),0)</f>
        <v>150727.70645152646</v>
      </c>
      <c r="G17" s="146">
        <f>IFERROR((Total!G10/(VLOOKUP(D5,Currency!$A$2:$D$33,3,FALSE))*100),0)</f>
        <v>152108.07043876813</v>
      </c>
      <c r="H17" s="146">
        <f>IFERROR((Total!H10/(VLOOKUP(D5,Currency!$A$2:$D$33,3,FALSE))*100),0)</f>
        <v>78466.321799029727</v>
      </c>
      <c r="I17" s="146">
        <f>IFERROR((Total!I10/(VLOOKUP(D5,Currency!$A$2:$D$33,3,FALSE))*100),0)</f>
        <v>0</v>
      </c>
      <c r="J17" s="146">
        <f>IFERROR((Total!J10/(VLOOKUP(D5,Currency!$A$2:$D$33,3,FALSE))*100),0)</f>
        <v>0</v>
      </c>
      <c r="K17" s="146">
        <f>IFERROR((Total!K10/(VLOOKUP(D5,Currency!$A$2:$D$33,3,FALSE))*100),0)</f>
        <v>0</v>
      </c>
      <c r="L17" s="146">
        <f>IFERROR((Total!L10/(VLOOKUP(D5,Currency!$A$2:$D$33,3,FALSE))*100),0)</f>
        <v>0</v>
      </c>
      <c r="M17" s="146">
        <f>IFERROR((Total!M10/(VLOOKUP(D5,Currency!$A$2:$D$33,3,FALSE))*100),0)</f>
        <v>0</v>
      </c>
      <c r="N17" s="175">
        <f t="shared" si="41"/>
        <v>525530.03296791657</v>
      </c>
      <c r="P17" s="190" t="s">
        <v>78</v>
      </c>
      <c r="Q17" s="151"/>
      <c r="R17" s="146">
        <f>IFERROR(('B1'!S58/(VLOOKUP(D5,Currency!$A$2:$D$33,3,FALSE))*100),0)</f>
        <v>0</v>
      </c>
      <c r="S17" s="146">
        <f>IFERROR(('B1'!T58/(VLOOKUP(D5,Currency!$A$2:$D$33,3,FALSE))*100),0)</f>
        <v>144227.93427859229</v>
      </c>
      <c r="T17" s="146">
        <f>IFERROR(('B1'!U58/(VLOOKUP(D5,Currency!$A$2:$D$33,3,FALSE))*100),0)</f>
        <v>150727.70645152646</v>
      </c>
      <c r="U17" s="146">
        <f>IFERROR(('B1'!V58/(VLOOKUP(D5,Currency!$A$2:$D$33,3,FALSE))*100),0)</f>
        <v>152108.07043876813</v>
      </c>
      <c r="V17" s="146">
        <f>IFERROR(('B1'!W58/(VLOOKUP(D5,Currency!$A$2:$D$33,3,FALSE))*100),0)</f>
        <v>78466.321799029727</v>
      </c>
      <c r="W17" s="146">
        <f>IFERROR(('B1'!X58/(VLOOKUP(D5,Currency!$A$2:$D$33,3,FALSE))*100),0)</f>
        <v>0</v>
      </c>
      <c r="X17" s="146">
        <f>IFERROR(('B1'!Y58/(VLOOKUP(D5,Currency!$A$2:$D$33,3,FALSE))*100),0)</f>
        <v>0</v>
      </c>
      <c r="Y17" s="146">
        <f>IFERROR(('B1'!Z58/(VLOOKUP(D5,Currency!$A$2:$D$33,3,FALSE))*100),0)</f>
        <v>0</v>
      </c>
      <c r="Z17" s="146">
        <f>IFERROR(('B1'!AA58/(VLOOKUP(D5,Currency!$A$2:$D$33,3,FALSE))*100),0)</f>
        <v>0</v>
      </c>
      <c r="AA17" s="146">
        <f>IFERROR(('B1'!AB58/(VLOOKUP(D5,Currency!$A$2:$D$33,3,FALSE))*100),0)</f>
        <v>0</v>
      </c>
      <c r="AB17" s="175">
        <f t="shared" si="42"/>
        <v>525530.03296791657</v>
      </c>
      <c r="AD17" s="190" t="s">
        <v>78</v>
      </c>
      <c r="AE17" s="151"/>
      <c r="AF17" s="146">
        <f>IFERROR((+'B2'!S58/(VLOOKUP(D5,Currency!$A$2:$D$33,3,FALSE))*100),0)</f>
        <v>0</v>
      </c>
      <c r="AG17" s="146">
        <f>IFERROR((+'B2'!T58/(VLOOKUP(D5,Currency!$A$2:$D$33,3,FALSE))*100),0)</f>
        <v>0</v>
      </c>
      <c r="AH17" s="146">
        <f>IFERROR((+'B2'!U58/(VLOOKUP(D5,Currency!$A$2:$D$33,3,FALSE))*100),0)</f>
        <v>0</v>
      </c>
      <c r="AI17" s="146">
        <f>IFERROR((+'B2'!V58/(VLOOKUP(D5,Currency!$A$2:$D$33,3,FALSE))*100),0)</f>
        <v>0</v>
      </c>
      <c r="AJ17" s="146">
        <f>IFERROR((+'B2'!W58/(VLOOKUP(D5,Currency!$A$2:$D$33,3,FALSE))*100),0)</f>
        <v>0</v>
      </c>
      <c r="AK17" s="146">
        <f>IFERROR((+'B2'!X58/(VLOOKUP(D5,Currency!$A$2:$D$33,3,FALSE))*100),0)</f>
        <v>0</v>
      </c>
      <c r="AL17" s="146">
        <f>IFERROR((+'B2'!Y58/(VLOOKUP(D5,Currency!$A$2:$D$33,3,FALSE))*100),0)</f>
        <v>0</v>
      </c>
      <c r="AM17" s="146">
        <f>IFERROR((+'B2'!Z58/(VLOOKUP(D5,Currency!$A$2:$D$33,3,FALSE))*100),0)</f>
        <v>0</v>
      </c>
      <c r="AN17" s="146">
        <f>IFERROR((+'B2'!AA58/(VLOOKUP(D5,Currency!$A$2:$D$33,3,FALSE))*100),0)</f>
        <v>0</v>
      </c>
      <c r="AO17" s="146">
        <f>IFERROR((+'B2'!AB58/(VLOOKUP(D5,Currency!$A$2:$D$33,3,FALSE))*100),0)</f>
        <v>0</v>
      </c>
      <c r="AP17" s="175">
        <f t="shared" si="43"/>
        <v>0</v>
      </c>
      <c r="AR17" s="190" t="s">
        <v>78</v>
      </c>
      <c r="AS17" s="151"/>
      <c r="AT17" s="146">
        <f>IFERROR((+'B3'!S58/(VLOOKUP(D5,Currency!$A$2:$D$33,3,FALSE))*100),0)</f>
        <v>0</v>
      </c>
      <c r="AU17" s="146">
        <f>IFERROR((+'B3'!T58/(VLOOKUP(D5,Currency!$A$2:$D$33,3,FALSE))*100),0)</f>
        <v>0</v>
      </c>
      <c r="AV17" s="146">
        <f>IFERROR((+'B3'!U58/(VLOOKUP(D5,Currency!$A$2:$D$33,3,FALSE))*100),0)</f>
        <v>0</v>
      </c>
      <c r="AW17" s="146">
        <f>IFERROR((+'B3'!V58/(VLOOKUP(D5,Currency!$A$2:$D$33,3,FALSE))*100),0)</f>
        <v>0</v>
      </c>
      <c r="AX17" s="146">
        <f>IFERROR((+'B3'!W58/(VLOOKUP(D5,Currency!$A$2:$D$33,3,FALSE))*100),0)</f>
        <v>0</v>
      </c>
      <c r="AY17" s="146">
        <f>IFERROR((+'B3'!X58/(VLOOKUP(D5,Currency!$A$2:$D$33,3,FALSE))*100),0)</f>
        <v>0</v>
      </c>
      <c r="AZ17" s="146">
        <f>IFERROR((+'B3'!Y58/(VLOOKUP(D5,Currency!$A$2:$D$33,3,FALSE))*100),0)</f>
        <v>0</v>
      </c>
      <c r="BA17" s="146">
        <f>IFERROR((+'B3'!Z58/(VLOOKUP(D5,Currency!$A$2:$D$33,3,FALSE))*100),0)</f>
        <v>0</v>
      </c>
      <c r="BB17" s="146">
        <f>IFERROR((+'B3'!AA58/(VLOOKUP(D5,Currency!$A$2:$D$33,3,FALSE))*100),0)</f>
        <v>0</v>
      </c>
      <c r="BC17" s="146">
        <f>IFERROR((+'B3'!AB58/(VLOOKUP(D5,Currency!$A$2:$D$33,3,FALSE))*100),0)</f>
        <v>0</v>
      </c>
      <c r="BD17" s="175">
        <f t="shared" si="44"/>
        <v>0</v>
      </c>
      <c r="BF17" s="190" t="s">
        <v>78</v>
      </c>
      <c r="BG17" s="151"/>
      <c r="BH17" s="146">
        <f>IFERROR((+'B4'!S58/(VLOOKUP(D5,Currency!$A$2:$D$33,3,FALSE))*100),0)</f>
        <v>0</v>
      </c>
      <c r="BI17" s="146">
        <f>IFERROR((+'B4'!T58/(VLOOKUP(D5,Currency!$A$2:$D$33,3,FALSE))*100),0)</f>
        <v>0</v>
      </c>
      <c r="BJ17" s="146">
        <f>IFERROR((+'B4'!U58/(VLOOKUP(D5,Currency!$A$2:$D$33,3,FALSE))*100),0)</f>
        <v>0</v>
      </c>
      <c r="BK17" s="146">
        <f>IFERROR((+'B4'!V58/(VLOOKUP(D5,Currency!$A$2:$D$33,3,FALSE))*100),0)</f>
        <v>0</v>
      </c>
      <c r="BL17" s="146">
        <f>IFERROR((+'B4'!W58/(VLOOKUP(D5,Currency!$A$2:$D$33,3,FALSE))*100),0)</f>
        <v>0</v>
      </c>
      <c r="BM17" s="146">
        <f>IFERROR((+'B4'!X58/(VLOOKUP(D5,Currency!$A$2:$D$33,3,FALSE))*100),0)</f>
        <v>0</v>
      </c>
      <c r="BN17" s="146">
        <f>IFERROR((+'B4'!Y58/(VLOOKUP(D5,Currency!$A$2:$D$33,3,FALSE))*100),0)</f>
        <v>0</v>
      </c>
      <c r="BO17" s="146">
        <f>IFERROR((+'B4'!Z58/(VLOOKUP(D5,Currency!$A$2:$D$33,3,FALSE))*100),0)</f>
        <v>0</v>
      </c>
      <c r="BP17" s="146">
        <f>IFERROR((+'B4'!AA58/(VLOOKUP(D5,Currency!$A$2:$D$33,3,FALSE))*100),0)</f>
        <v>0</v>
      </c>
      <c r="BQ17" s="146">
        <f>IFERROR((+'B4'!AB58/(VLOOKUP(D5,Currency!$A$2:$D$33,3,FALSE))*100),0)</f>
        <v>0</v>
      </c>
      <c r="BR17" s="175">
        <f t="shared" si="45"/>
        <v>0</v>
      </c>
      <c r="BT17" s="190" t="s">
        <v>78</v>
      </c>
      <c r="BU17" s="151"/>
      <c r="BV17" s="146">
        <f>IFERROR((+'B5'!S58/(VLOOKUP(D5,Currency!$A$2:$D$33,3,FALSE))*100),0)</f>
        <v>0</v>
      </c>
      <c r="BW17" s="146">
        <f>IFERROR((+'B5'!T58/(VLOOKUP(D5,Currency!$A$2:$D$33,3,FALSE))*100),0)</f>
        <v>0</v>
      </c>
      <c r="BX17" s="146">
        <f>IFERROR((+'B5'!U58/(VLOOKUP(D5,Currency!$A$2:$D$33,3,FALSE))*100),0)</f>
        <v>0</v>
      </c>
      <c r="BY17" s="146">
        <f>IFERROR((+'B5'!V58/(VLOOKUP(D5,Currency!$A$2:$D$33,3,FALSE))*100),0)</f>
        <v>0</v>
      </c>
      <c r="BZ17" s="146">
        <f>IFERROR((+'B5'!W58/(VLOOKUP(D5,Currency!$A$2:$D$33,3,FALSE))*100),0)</f>
        <v>0</v>
      </c>
      <c r="CA17" s="146">
        <f>IFERROR((+'B5'!X58/(VLOOKUP(D5,Currency!$A$2:$D$33,3,FALSE))*100),0)</f>
        <v>0</v>
      </c>
      <c r="CB17" s="146">
        <f>IFERROR((+'B5'!Y58/(VLOOKUP(D5,Currency!$A$2:$D$33,3,FALSE))*100),0)</f>
        <v>0</v>
      </c>
      <c r="CC17" s="146">
        <f>IFERROR((+'B5'!Z58/(VLOOKUP(D5,Currency!$A$2:$D$33,3,FALSE))*100),0)</f>
        <v>0</v>
      </c>
      <c r="CD17" s="146">
        <f>IFERROR((+'B5'!AA58/(VLOOKUP(D5,Currency!$A$2:$D$33,3,FALSE))*100),0)</f>
        <v>0</v>
      </c>
      <c r="CE17" s="146">
        <f>IFERROR((+'B5'!AB58/(VLOOKUP(D5,Currency!$A$2:$D$33,3,FALSE))*100),0)</f>
        <v>0</v>
      </c>
      <c r="CF17" s="175">
        <f t="shared" si="46"/>
        <v>0</v>
      </c>
    </row>
    <row r="18" spans="2:84" x14ac:dyDescent="0.2">
      <c r="B18" s="191" t="s">
        <v>0</v>
      </c>
      <c r="C18" s="119"/>
      <c r="D18" s="21">
        <f>IFERROR((Total!D11/(VLOOKUP(D5,Currency!$A$2:$D$33,3,FALSE))*100),0)</f>
        <v>0</v>
      </c>
      <c r="E18" s="21">
        <f>IFERROR((Total!E11/(VLOOKUP(D5,Currency!$A$2:$D$33,3,FALSE))*100),0)</f>
        <v>36056.983569648073</v>
      </c>
      <c r="F18" s="21">
        <f>IFERROR((Total!F11/(VLOOKUP(D5,Currency!$A$2:$D$33,3,FALSE))*100),0)</f>
        <v>37681.926612881616</v>
      </c>
      <c r="G18" s="21">
        <f>IFERROR((Total!G11/(VLOOKUP(D5,Currency!$A$2:$D$33,3,FALSE))*100),0)</f>
        <v>38027.017609692033</v>
      </c>
      <c r="H18" s="21">
        <f>IFERROR((Total!H11/(VLOOKUP(D5,Currency!$A$2:$D$33,3,FALSE))*100),0)</f>
        <v>19616.580449757432</v>
      </c>
      <c r="I18" s="21">
        <f>IFERROR((Total!I11/(VLOOKUP(D5,Currency!$A$2:$D$33,3,FALSE))*100),0)</f>
        <v>0</v>
      </c>
      <c r="J18" s="21">
        <f>IFERROR((Total!J11/(VLOOKUP(D5,Currency!$A$2:$D$33,3,FALSE))*100),0)</f>
        <v>0</v>
      </c>
      <c r="K18" s="21">
        <f>IFERROR((Total!K11/(VLOOKUP(D5,Currency!$A$2:$D$33,3,FALSE))*100),0)</f>
        <v>0</v>
      </c>
      <c r="L18" s="21">
        <f>IFERROR((Total!L11/(VLOOKUP(D5,Currency!$A$2:$D$33,3,FALSE))*100),0)</f>
        <v>0</v>
      </c>
      <c r="M18" s="21">
        <f>IFERROR((Total!M11/(VLOOKUP(D5,Currency!$A$2:$D$33,3,FALSE))*100),0)</f>
        <v>0</v>
      </c>
      <c r="N18" s="175">
        <f t="shared" si="41"/>
        <v>131382.50824197914</v>
      </c>
      <c r="P18" s="191" t="s">
        <v>0</v>
      </c>
      <c r="Q18" s="119"/>
      <c r="R18" s="21">
        <f>IFERROR(('B1'!S59/(VLOOKUP(D5,Currency!$A$2:$D$33,3,FALSE))*100),0)</f>
        <v>0</v>
      </c>
      <c r="S18" s="21">
        <f>IFERROR(('B1'!T59/(VLOOKUP(D5,Currency!$A$2:$D$33,3,FALSE))*100),0)</f>
        <v>36056.983569648073</v>
      </c>
      <c r="T18" s="21">
        <f>IFERROR(('B1'!U59/(VLOOKUP(D5,Currency!$A$2:$D$33,3,FALSE))*100),0)</f>
        <v>37681.926612881616</v>
      </c>
      <c r="U18" s="21">
        <f>IFERROR(('B1'!V59/(VLOOKUP(D5,Currency!$A$2:$D$33,3,FALSE))*100),0)</f>
        <v>38027.017609692033</v>
      </c>
      <c r="V18" s="21">
        <f>IFERROR(('B1'!W59/(VLOOKUP(D5,Currency!$A$2:$D$33,3,FALSE))*100),0)</f>
        <v>19616.580449757432</v>
      </c>
      <c r="W18" s="21">
        <f>IFERROR(('B1'!X59/(VLOOKUP(D5,Currency!$A$2:$D$33,3,FALSE))*100),0)</f>
        <v>0</v>
      </c>
      <c r="X18" s="21">
        <f>IFERROR(('B1'!Y59/(VLOOKUP(D5,Currency!$A$2:$D$33,3,FALSE))*100),0)</f>
        <v>0</v>
      </c>
      <c r="Y18" s="21">
        <f>IFERROR(('B1'!Z59/(VLOOKUP(D5,Currency!$A$2:$D$33,3,FALSE))*100),0)</f>
        <v>0</v>
      </c>
      <c r="Z18" s="21">
        <f>IFERROR(('B1'!AA59/(VLOOKUP(D5,Currency!$A$2:$D$33,3,FALSE))*100),0)</f>
        <v>0</v>
      </c>
      <c r="AA18" s="21">
        <f>IFERROR(('B1'!AB59/(VLOOKUP(D5,Currency!$A$2:$D$33,3,FALSE))*100),0)</f>
        <v>0</v>
      </c>
      <c r="AB18" s="175">
        <f t="shared" si="42"/>
        <v>131382.50824197914</v>
      </c>
      <c r="AD18" s="191" t="s">
        <v>0</v>
      </c>
      <c r="AE18" s="119"/>
      <c r="AF18" s="21">
        <f>IFERROR((+'B2'!S59/(VLOOKUP(D5,Currency!$A$2:$D$33,3,FALSE))*100),0)</f>
        <v>0</v>
      </c>
      <c r="AG18" s="21">
        <f>IFERROR((+'B2'!T59/(VLOOKUP(D5,Currency!$A$2:$D$33,3,FALSE))*100),0)</f>
        <v>0</v>
      </c>
      <c r="AH18" s="21">
        <f>IFERROR((+'B2'!U59/(VLOOKUP(D5,Currency!$A$2:$D$33,3,FALSE))*100),0)</f>
        <v>0</v>
      </c>
      <c r="AI18" s="21">
        <f>IFERROR((+'B2'!V59/(VLOOKUP(D5,Currency!$A$2:$D$33,3,FALSE))*100),0)</f>
        <v>0</v>
      </c>
      <c r="AJ18" s="21">
        <f>IFERROR((+'B2'!W59/(VLOOKUP(D5,Currency!$A$2:$D$33,3,FALSE))*100),0)</f>
        <v>0</v>
      </c>
      <c r="AK18" s="21">
        <f>IFERROR((+'B2'!X59/(VLOOKUP(D5,Currency!$A$2:$D$33,3,FALSE))*100),0)</f>
        <v>0</v>
      </c>
      <c r="AL18" s="21">
        <f>IFERROR((+'B2'!Y59/(VLOOKUP(D5,Currency!$A$2:$D$33,3,FALSE))*100),0)</f>
        <v>0</v>
      </c>
      <c r="AM18" s="21">
        <f>IFERROR((+'B2'!Z59/(VLOOKUP(D5,Currency!$A$2:$D$33,3,FALSE))*100),0)</f>
        <v>0</v>
      </c>
      <c r="AN18" s="21">
        <f>IFERROR((+'B2'!AA59/(VLOOKUP(D5,Currency!$A$2:$D$33,3,FALSE))*100),0)</f>
        <v>0</v>
      </c>
      <c r="AO18" s="21">
        <f>IFERROR((+'B2'!AB59/(VLOOKUP(D5,Currency!$A$2:$D$33,3,FALSE))*100),0)</f>
        <v>0</v>
      </c>
      <c r="AP18" s="175">
        <f t="shared" si="43"/>
        <v>0</v>
      </c>
      <c r="AR18" s="191" t="s">
        <v>0</v>
      </c>
      <c r="AS18" s="119"/>
      <c r="AT18" s="21">
        <f>IFERROR((+'B3'!S59/(VLOOKUP(D5,Currency!$A$2:$D$33,3,FALSE))*100),0)</f>
        <v>0</v>
      </c>
      <c r="AU18" s="21">
        <f>IFERROR((+'B3'!T59/(VLOOKUP(D5,Currency!$A$2:$D$33,3,FALSE))*100),0)</f>
        <v>0</v>
      </c>
      <c r="AV18" s="21">
        <f>IFERROR((+'B3'!U59/(VLOOKUP(D5,Currency!$A$2:$D$33,3,FALSE))*100),0)</f>
        <v>0</v>
      </c>
      <c r="AW18" s="21">
        <f>IFERROR((+'B3'!V59/(VLOOKUP(D5,Currency!$A$2:$D$33,3,FALSE))*100),0)</f>
        <v>0</v>
      </c>
      <c r="AX18" s="21">
        <f>IFERROR((+'B3'!W59/(VLOOKUP(D5,Currency!$A$2:$D$33,3,FALSE))*100),0)</f>
        <v>0</v>
      </c>
      <c r="AY18" s="21">
        <f>IFERROR((+'B3'!X59/(VLOOKUP(D5,Currency!$A$2:$D$33,3,FALSE))*100),0)</f>
        <v>0</v>
      </c>
      <c r="AZ18" s="21">
        <f>IFERROR((+'B3'!Y59/(VLOOKUP(D5,Currency!$A$2:$D$33,3,FALSE))*100),0)</f>
        <v>0</v>
      </c>
      <c r="BA18" s="21">
        <f>IFERROR((+'B3'!Z59/(VLOOKUP(D5,Currency!$A$2:$D$33,3,FALSE))*100),0)</f>
        <v>0</v>
      </c>
      <c r="BB18" s="21">
        <f>IFERROR((+'B3'!AA59/(VLOOKUP(D5,Currency!$A$2:$D$33,3,FALSE))*100),0)</f>
        <v>0</v>
      </c>
      <c r="BC18" s="21">
        <f>IFERROR((+'B3'!AB59/(VLOOKUP(D5,Currency!$A$2:$D$33,3,FALSE))*100),0)</f>
        <v>0</v>
      </c>
      <c r="BD18" s="175">
        <f t="shared" si="44"/>
        <v>0</v>
      </c>
      <c r="BF18" s="191" t="s">
        <v>0</v>
      </c>
      <c r="BG18" s="119"/>
      <c r="BH18" s="21">
        <f>IFERROR((+'B4'!S59/(VLOOKUP(D5,Currency!$A$2:$D$33,3,FALSE))*100),0)</f>
        <v>0</v>
      </c>
      <c r="BI18" s="21">
        <f>IFERROR((+'B4'!T59/(VLOOKUP(D5,Currency!$A$2:$D$33,3,FALSE))*100),0)</f>
        <v>0</v>
      </c>
      <c r="BJ18" s="21">
        <f>IFERROR((+'B4'!U59/(VLOOKUP(D5,Currency!$A$2:$D$33,3,FALSE))*100),0)</f>
        <v>0</v>
      </c>
      <c r="BK18" s="21">
        <f>IFERROR((+'B4'!V59/(VLOOKUP(D5,Currency!$A$2:$D$33,3,FALSE))*100),0)</f>
        <v>0</v>
      </c>
      <c r="BL18" s="21">
        <f>IFERROR((+'B4'!W59/(VLOOKUP(D5,Currency!$A$2:$D$33,3,FALSE))*100),0)</f>
        <v>0</v>
      </c>
      <c r="BM18" s="21">
        <f>IFERROR((+'B4'!X59/(VLOOKUP(D5,Currency!$A$2:$D$33,3,FALSE))*100),0)</f>
        <v>0</v>
      </c>
      <c r="BN18" s="21">
        <f>IFERROR((+'B4'!Y59/(VLOOKUP(D5,Currency!$A$2:$D$33,3,FALSE))*100),0)</f>
        <v>0</v>
      </c>
      <c r="BO18" s="21">
        <f>IFERROR((+'B4'!Z59/(VLOOKUP(D5,Currency!$A$2:$D$33,3,FALSE))*100),0)</f>
        <v>0</v>
      </c>
      <c r="BP18" s="21">
        <f>IFERROR((+'B4'!AA59/(VLOOKUP(D5,Currency!$A$2:$D$33,3,FALSE))*100),0)</f>
        <v>0</v>
      </c>
      <c r="BQ18" s="21">
        <f>IFERROR((+'B4'!AB59/(VLOOKUP(D5,Currency!$A$2:$D$33,3,FALSE))*100),0)</f>
        <v>0</v>
      </c>
      <c r="BR18" s="175">
        <f t="shared" si="45"/>
        <v>0</v>
      </c>
      <c r="BT18" s="191" t="s">
        <v>0</v>
      </c>
      <c r="BU18" s="119"/>
      <c r="BV18" s="21">
        <f>IFERROR((+'B5'!S59/(VLOOKUP(D5,Currency!$A$2:$D$33,3,FALSE))*100),0)</f>
        <v>0</v>
      </c>
      <c r="BW18" s="21">
        <f>IFERROR((+'B5'!T59/(VLOOKUP(D5,Currency!$A$2:$D$33,3,FALSE))*100),0)</f>
        <v>0</v>
      </c>
      <c r="BX18" s="21">
        <f>IFERROR((+'B5'!U59/(VLOOKUP(D5,Currency!$A$2:$D$33,3,FALSE))*100),0)</f>
        <v>0</v>
      </c>
      <c r="BY18" s="21">
        <f>IFERROR((+'B5'!V59/(VLOOKUP(D5,Currency!$A$2:$D$33,3,FALSE))*100),0)</f>
        <v>0</v>
      </c>
      <c r="BZ18" s="21">
        <f>IFERROR((+'B5'!W59/(VLOOKUP(D5,Currency!$A$2:$D$33,3,FALSE))*100),0)</f>
        <v>0</v>
      </c>
      <c r="CA18" s="21">
        <f>IFERROR((+'B5'!X59/(VLOOKUP(D5,Currency!$A$2:$D$33,3,FALSE))*100),0)</f>
        <v>0</v>
      </c>
      <c r="CB18" s="21">
        <f>IFERROR((+'B5'!Y59/(VLOOKUP(D5,Currency!$A$2:$D$33,3,FALSE))*100),0)</f>
        <v>0</v>
      </c>
      <c r="CC18" s="21">
        <f>IFERROR((+'B5'!Z59/(VLOOKUP(D5,Currency!$A$2:$D$33,3,FALSE))*100),0)</f>
        <v>0</v>
      </c>
      <c r="CD18" s="21">
        <f>IFERROR((+'B5'!AA59/(VLOOKUP(D5,Currency!$A$2:$D$33,3,FALSE))*100),0)</f>
        <v>0</v>
      </c>
      <c r="CE18" s="21">
        <f>IFERROR((+'B5'!AB59/(VLOOKUP(D5,Currency!$A$2:$D$33,3,FALSE))*100),0)</f>
        <v>0</v>
      </c>
      <c r="CF18" s="175">
        <f t="shared" si="46"/>
        <v>0</v>
      </c>
    </row>
    <row r="19" spans="2:84" x14ac:dyDescent="0.2">
      <c r="B19" s="192" t="s">
        <v>103</v>
      </c>
      <c r="C19" s="119"/>
      <c r="D19" s="21">
        <f>IFERROR((Total!D12/(VLOOKUP(D5,Currency!$A$2:$D$33,3,FALSE))*100),0)</f>
        <v>0</v>
      </c>
      <c r="E19" s="21">
        <f>IFERROR((Total!E12/(VLOOKUP(D5,Currency!$A$2:$D$33,3,FALSE))*100),0)</f>
        <v>0</v>
      </c>
      <c r="F19" s="21">
        <f>IFERROR((Total!F12/(VLOOKUP(D5,Currency!$A$2:$D$33,3,FALSE))*100),0)</f>
        <v>0</v>
      </c>
      <c r="G19" s="21">
        <f>IFERROR((Total!G12/(VLOOKUP(D5,Currency!$A$2:$D$33,3,FALSE))*100),0)</f>
        <v>0</v>
      </c>
      <c r="H19" s="21">
        <f>IFERROR((Total!H12/(VLOOKUP(D5,Currency!$A$2:$D$33,3,FALSE))*100),0)</f>
        <v>0</v>
      </c>
      <c r="I19" s="21">
        <f>IFERROR((Total!I12/(VLOOKUP(D5,Currency!$A$2:$D$33,3,FALSE))*100),0)</f>
        <v>0</v>
      </c>
      <c r="J19" s="21">
        <f>IFERROR((Total!J12/(VLOOKUP(D5,Currency!$A$2:$D$33,3,FALSE))*100),0)</f>
        <v>0</v>
      </c>
      <c r="K19" s="21">
        <f>IFERROR((Total!K12/(VLOOKUP(D5,Currency!$A$2:$D$33,3,FALSE))*100),0)</f>
        <v>0</v>
      </c>
      <c r="L19" s="21">
        <f>IFERROR((Total!L12/(VLOOKUP(D5,Currency!$A$2:$D$33,3,FALSE))*100),0)</f>
        <v>0</v>
      </c>
      <c r="M19" s="21">
        <f>IFERROR((Total!M12/(VLOOKUP(D5,Currency!$A$2:$D$33,3,FALSE))*100),0)</f>
        <v>0</v>
      </c>
      <c r="N19" s="175">
        <f t="shared" si="41"/>
        <v>0</v>
      </c>
      <c r="P19" s="192" t="s">
        <v>96</v>
      </c>
      <c r="Q19" s="119"/>
      <c r="R19" s="21">
        <f>IFERROR(('B1'!S60/(VLOOKUP(D5,Currency!$A$2:$D$33,3,FALSE))*100),0)</f>
        <v>0</v>
      </c>
      <c r="S19" s="21">
        <f>IFERROR(('B1'!T60/(VLOOKUP(D5,Currency!$A$2:$D$33,3,FALSE))*100),0)</f>
        <v>0</v>
      </c>
      <c r="T19" s="21">
        <f>IFERROR(('B1'!U60/(VLOOKUP(D5,Currency!$A$2:$D$33,3,FALSE))*100),0)</f>
        <v>0</v>
      </c>
      <c r="U19" s="21">
        <f>IFERROR(('B1'!V60/(VLOOKUP(D5,Currency!$A$2:$D$33,3,FALSE))*100),0)</f>
        <v>0</v>
      </c>
      <c r="V19" s="21">
        <f>IFERROR(('B1'!W60/(VLOOKUP(D5,Currency!$A$2:$D$33,3,FALSE))*100),0)</f>
        <v>0</v>
      </c>
      <c r="W19" s="21">
        <f>IFERROR(('B1'!X60/(VLOOKUP(D5,Currency!$A$2:$D$33,3,FALSE))*100),0)</f>
        <v>0</v>
      </c>
      <c r="X19" s="21">
        <f>IFERROR(('B1'!Y60/(VLOOKUP(D5,Currency!$A$2:$D$33,3,FALSE))*100),0)</f>
        <v>0</v>
      </c>
      <c r="Y19" s="21">
        <f>IFERROR(('B1'!Z60/(VLOOKUP(D5,Currency!$A$2:$D$33,3,FALSE))*100),0)</f>
        <v>0</v>
      </c>
      <c r="Z19" s="21">
        <f>IFERROR(('B1'!AA60/(VLOOKUP(D5,Currency!$A$2:$D$33,3,FALSE))*100),0)</f>
        <v>0</v>
      </c>
      <c r="AA19" s="21">
        <f>IFERROR(('B1'!AB60/(VLOOKUP(D5,Currency!$A$2:$D$33,3,FALSE))*100),0)</f>
        <v>0</v>
      </c>
      <c r="AB19" s="175">
        <f t="shared" si="42"/>
        <v>0</v>
      </c>
      <c r="AD19" s="192" t="s">
        <v>96</v>
      </c>
      <c r="AE19" s="119"/>
      <c r="AF19" s="21">
        <f>IFERROR((+'B2'!S60/(VLOOKUP(D5,Currency!$A$2:$D$33,3,FALSE))*100),0)</f>
        <v>0</v>
      </c>
      <c r="AG19" s="21">
        <f>IFERROR((+'B2'!T60/(VLOOKUP(D5,Currency!$A$2:$D$33,3,FALSE))*100),0)</f>
        <v>0</v>
      </c>
      <c r="AH19" s="21">
        <f>IFERROR((+'B2'!U60/(VLOOKUP(D5,Currency!$A$2:$D$33,3,FALSE))*100),0)</f>
        <v>0</v>
      </c>
      <c r="AI19" s="21">
        <f>IFERROR((+'B2'!V60/(VLOOKUP(D5,Currency!$A$2:$D$33,3,FALSE))*100),0)</f>
        <v>0</v>
      </c>
      <c r="AJ19" s="21">
        <f>IFERROR((+'B2'!W60/(VLOOKUP(D5,Currency!$A$2:$D$33,3,FALSE))*100),0)</f>
        <v>0</v>
      </c>
      <c r="AK19" s="21">
        <f>IFERROR((+'B2'!X60/(VLOOKUP(D5,Currency!$A$2:$D$33,3,FALSE))*100),0)</f>
        <v>0</v>
      </c>
      <c r="AL19" s="21">
        <f>IFERROR((+'B2'!Y60/(VLOOKUP(D5,Currency!$A$2:$D$33,3,FALSE))*100),0)</f>
        <v>0</v>
      </c>
      <c r="AM19" s="21">
        <f>IFERROR((+'B2'!Z60/(VLOOKUP(D5,Currency!$A$2:$D$33,3,FALSE))*100),0)</f>
        <v>0</v>
      </c>
      <c r="AN19" s="21">
        <f>IFERROR((+'B2'!AA60/(VLOOKUP(D5,Currency!$A$2:$D$33,3,FALSE))*100),0)</f>
        <v>0</v>
      </c>
      <c r="AO19" s="21">
        <f>IFERROR((+'B2'!AB60/(VLOOKUP(D5,Currency!$A$2:$D$33,3,FALSE))*100),0)</f>
        <v>0</v>
      </c>
      <c r="AP19" s="175">
        <f t="shared" si="43"/>
        <v>0</v>
      </c>
      <c r="AR19" s="192" t="s">
        <v>96</v>
      </c>
      <c r="AS19" s="119"/>
      <c r="AT19" s="21">
        <f>IFERROR((+'B3'!S60/(VLOOKUP(D5,Currency!$A$2:$D$33,3,FALSE))*100),0)</f>
        <v>0</v>
      </c>
      <c r="AU19" s="21">
        <f>IFERROR((+'B3'!T60/(VLOOKUP(D5,Currency!$A$2:$D$33,3,FALSE))*100),0)</f>
        <v>0</v>
      </c>
      <c r="AV19" s="21">
        <f>IFERROR((+'B3'!U60/(VLOOKUP(D5,Currency!$A$2:$D$33,3,FALSE))*100),0)</f>
        <v>0</v>
      </c>
      <c r="AW19" s="21">
        <f>IFERROR((+'B3'!V60/(VLOOKUP(D5,Currency!$A$2:$D$33,3,FALSE))*100),0)</f>
        <v>0</v>
      </c>
      <c r="AX19" s="21">
        <f>IFERROR((+'B3'!W60/(VLOOKUP(D5,Currency!$A$2:$D$33,3,FALSE))*100),0)</f>
        <v>0</v>
      </c>
      <c r="AY19" s="21">
        <f>IFERROR((+'B3'!X60/(VLOOKUP(D5,Currency!$A$2:$D$33,3,FALSE))*100),0)</f>
        <v>0</v>
      </c>
      <c r="AZ19" s="21">
        <f>IFERROR((+'B3'!Y60/(VLOOKUP(D5,Currency!$A$2:$D$33,3,FALSE))*100),0)</f>
        <v>0</v>
      </c>
      <c r="BA19" s="21">
        <f>IFERROR((+'B3'!Z60/(VLOOKUP(D5,Currency!$A$2:$D$33,3,FALSE))*100),0)</f>
        <v>0</v>
      </c>
      <c r="BB19" s="21">
        <f>IFERROR((+'B3'!AA60/(VLOOKUP(D5,Currency!$A$2:$D$33,3,FALSE))*100),0)</f>
        <v>0</v>
      </c>
      <c r="BC19" s="21">
        <f>IFERROR((+'B3'!AB60/(VLOOKUP(D5,Currency!$A$2:$D$33,3,FALSE))*100),0)</f>
        <v>0</v>
      </c>
      <c r="BD19" s="175">
        <f t="shared" si="44"/>
        <v>0</v>
      </c>
      <c r="BF19" s="192" t="s">
        <v>96</v>
      </c>
      <c r="BG19" s="119"/>
      <c r="BH19" s="21">
        <f>IFERROR((+'B4'!S60/(VLOOKUP(D5,Currency!$A$2:$D$33,3,FALSE))*100),0)</f>
        <v>0</v>
      </c>
      <c r="BI19" s="21">
        <f>IFERROR((+'B4'!T60/(VLOOKUP(D5,Currency!$A$2:$D$33,3,FALSE))*100),0)</f>
        <v>0</v>
      </c>
      <c r="BJ19" s="21">
        <f>IFERROR((+'B4'!U60/(VLOOKUP(D5,Currency!$A$2:$D$33,3,FALSE))*100),0)</f>
        <v>0</v>
      </c>
      <c r="BK19" s="21">
        <f>IFERROR((+'B4'!V60/(VLOOKUP(D5,Currency!$A$2:$D$33,3,FALSE))*100),0)</f>
        <v>0</v>
      </c>
      <c r="BL19" s="21">
        <f>IFERROR((+'B4'!W60/(VLOOKUP(D5,Currency!$A$2:$D$33,3,FALSE))*100),0)</f>
        <v>0</v>
      </c>
      <c r="BM19" s="21">
        <f>IFERROR((+'B4'!X60/(VLOOKUP(D5,Currency!$A$2:$D$33,3,FALSE))*100),0)</f>
        <v>0</v>
      </c>
      <c r="BN19" s="21">
        <f>IFERROR((+'B4'!Y60/(VLOOKUP(D5,Currency!$A$2:$D$33,3,FALSE))*100),0)</f>
        <v>0</v>
      </c>
      <c r="BO19" s="21">
        <f>IFERROR((+'B4'!Z60/(VLOOKUP(D5,Currency!$A$2:$D$33,3,FALSE))*100),0)</f>
        <v>0</v>
      </c>
      <c r="BP19" s="21">
        <f>IFERROR((+'B4'!AA60/(VLOOKUP(D5,Currency!$A$2:$D$33,3,FALSE))*100),0)</f>
        <v>0</v>
      </c>
      <c r="BQ19" s="21">
        <f>IFERROR((+'B4'!AB60/(VLOOKUP(D5,Currency!$A$2:$D$33,3,FALSE))*100),0)</f>
        <v>0</v>
      </c>
      <c r="BR19" s="175">
        <f t="shared" si="45"/>
        <v>0</v>
      </c>
      <c r="BT19" s="192" t="s">
        <v>96</v>
      </c>
      <c r="BU19" s="119"/>
      <c r="BV19" s="21">
        <f>IFERROR((+'B5'!S60/(VLOOKUP(D5,Currency!$A$2:$D$33,3,FALSE))*100),0)</f>
        <v>0</v>
      </c>
      <c r="BW19" s="21">
        <f>IFERROR((+'B5'!T60/(VLOOKUP(D5,Currency!$A$2:$D$33,3,FALSE))*100),0)</f>
        <v>0</v>
      </c>
      <c r="BX19" s="21">
        <f>IFERROR((+'B5'!U60/(VLOOKUP(D5,Currency!$A$2:$D$33,3,FALSE))*100),0)</f>
        <v>0</v>
      </c>
      <c r="BY19" s="21">
        <f>IFERROR((+'B5'!V60/(VLOOKUP(D5,Currency!$A$2:$D$33,3,FALSE))*100),0)</f>
        <v>0</v>
      </c>
      <c r="BZ19" s="21">
        <f>IFERROR((+'B5'!W60/(VLOOKUP(D5,Currency!$A$2:$D$33,3,FALSE))*100),0)</f>
        <v>0</v>
      </c>
      <c r="CA19" s="21">
        <f>IFERROR((+'B5'!X60/(VLOOKUP(D5,Currency!$A$2:$D$33,3,FALSE))*100),0)</f>
        <v>0</v>
      </c>
      <c r="CB19" s="21">
        <f>IFERROR((+'B5'!Y60/(VLOOKUP(D5,Currency!$A$2:$D$33,3,FALSE))*100),0)</f>
        <v>0</v>
      </c>
      <c r="CC19" s="21">
        <f>IFERROR((+'B5'!Z60/(VLOOKUP(D5,Currency!$A$2:$D$33,3,FALSE))*100),0)</f>
        <v>0</v>
      </c>
      <c r="CD19" s="21">
        <f>IFERROR((+'B5'!AA60/(VLOOKUP(D5,Currency!$A$2:$D$33,3,FALSE))*100),0)</f>
        <v>0</v>
      </c>
      <c r="CE19" s="21">
        <f>IFERROR((+'B5'!AB60/(VLOOKUP(D5,Currency!$A$2:$D$33,3,FALSE))*100),0)</f>
        <v>0</v>
      </c>
      <c r="CF19" s="175">
        <f t="shared" si="46"/>
        <v>0</v>
      </c>
    </row>
    <row r="20" spans="2:84" x14ac:dyDescent="0.2">
      <c r="B20" s="192" t="s">
        <v>108</v>
      </c>
      <c r="C20" s="119"/>
      <c r="D20" s="21">
        <f>IFERROR((Total!D13/(VLOOKUP(D5,Currency!$A$2:$D$33,3,FALSE))*100),0)</f>
        <v>0</v>
      </c>
      <c r="E20" s="21">
        <f>IFERROR((Total!E13/(VLOOKUP(D5,Currency!$A$2:$D$33,3,FALSE))*100),0)</f>
        <v>0</v>
      </c>
      <c r="F20" s="21">
        <f>IFERROR((Total!F13/(VLOOKUP(D5,Currency!$A$2:$D$33,3,FALSE))*100),0)</f>
        <v>0</v>
      </c>
      <c r="G20" s="21">
        <f>IFERROR((Total!G13/(VLOOKUP(D5,Currency!$A$2:$D$33,3,FALSE))*100),0)</f>
        <v>0</v>
      </c>
      <c r="H20" s="21">
        <f>IFERROR((Total!H13/(VLOOKUP(D5,Currency!$A$2:$D$33,3,FALSE))*100),0)</f>
        <v>0</v>
      </c>
      <c r="I20" s="21">
        <f>IFERROR((Total!I13/(VLOOKUP(D5,Currency!$A$2:$D$33,3,FALSE))*100),0)</f>
        <v>0</v>
      </c>
      <c r="J20" s="21">
        <f>IFERROR((Total!J13/(VLOOKUP(D5,Currency!$A$2:$D$33,3,FALSE))*100),0)</f>
        <v>0</v>
      </c>
      <c r="K20" s="21">
        <f>IFERROR((Total!K13/(VLOOKUP(D5,Currency!$A$2:$D$33,3,FALSE))*100),0)</f>
        <v>0</v>
      </c>
      <c r="L20" s="21">
        <f>IFERROR((Total!L13/(VLOOKUP(D5,Currency!$A$2:$D$33,3,FALSE))*100),0)</f>
        <v>0</v>
      </c>
      <c r="M20" s="21">
        <f>IFERROR((Total!M13/(VLOOKUP(D5,Currency!$A$2:$D$33,3,FALSE))*100),0)</f>
        <v>0</v>
      </c>
      <c r="N20" s="175">
        <f t="shared" si="41"/>
        <v>0</v>
      </c>
      <c r="P20" s="192" t="s">
        <v>108</v>
      </c>
      <c r="Q20" s="119"/>
      <c r="R20" s="21">
        <f>IFERROR(('B1'!S61/(VLOOKUP(D5,Currency!$A$2:$D$33,3,FALSE))*100),0)</f>
        <v>0</v>
      </c>
      <c r="S20" s="21">
        <f>IFERROR(('B1'!T61/(VLOOKUP(D5,Currency!$A$2:$D$33,3,FALSE))*100),0)</f>
        <v>0</v>
      </c>
      <c r="T20" s="21">
        <f>IFERROR(('B1'!U61/(VLOOKUP(D5,Currency!$A$2:$D$33,3,FALSE))*100),0)</f>
        <v>0</v>
      </c>
      <c r="U20" s="21">
        <f>IFERROR(('B1'!V61/(VLOOKUP(D5,Currency!$A$2:$D$33,3,FALSE))*100),0)</f>
        <v>0</v>
      </c>
      <c r="V20" s="21">
        <f>IFERROR(('B1'!W61/(VLOOKUP(D5,Currency!$A$2:$D$33,3,FALSE))*100),0)</f>
        <v>0</v>
      </c>
      <c r="W20" s="21">
        <f>IFERROR(('B1'!X61/(VLOOKUP(D5,Currency!$A$2:$D$33,3,FALSE))*100),0)</f>
        <v>0</v>
      </c>
      <c r="X20" s="21">
        <f>IFERROR(('B1'!Y61/(VLOOKUP(D5,Currency!$A$2:$D$33,3,FALSE))*100),0)</f>
        <v>0</v>
      </c>
      <c r="Y20" s="21">
        <f>IFERROR(('B1'!Z61/(VLOOKUP(D5,Currency!$A$2:$D$33,3,FALSE))*100),0)</f>
        <v>0</v>
      </c>
      <c r="Z20" s="21">
        <f>IFERROR(('B1'!AA61/(VLOOKUP(D5,Currency!$A$2:$D$33,3,FALSE))*100),0)</f>
        <v>0</v>
      </c>
      <c r="AA20" s="21">
        <f>IFERROR(('B1'!AB61/(VLOOKUP(D5,Currency!$A$2:$D$33,3,FALSE))*100),0)</f>
        <v>0</v>
      </c>
      <c r="AB20" s="175">
        <f t="shared" si="42"/>
        <v>0</v>
      </c>
      <c r="AD20" s="192" t="s">
        <v>108</v>
      </c>
      <c r="AE20" s="119"/>
      <c r="AF20" s="21">
        <f>IFERROR((+'B2'!S61/(VLOOKUP(D5,Currency!$A$2:$D$33,3,FALSE))*100),0)</f>
        <v>0</v>
      </c>
      <c r="AG20" s="21">
        <f>IFERROR((+'B2'!T61/(VLOOKUP(D5,Currency!$A$2:$D$33,3,FALSE))*100),0)</f>
        <v>0</v>
      </c>
      <c r="AH20" s="21">
        <f>IFERROR((+'B2'!U61/(VLOOKUP(D5,Currency!$A$2:$D$33,3,FALSE))*100),0)</f>
        <v>0</v>
      </c>
      <c r="AI20" s="21">
        <f>IFERROR((+'B2'!V61/(VLOOKUP(D5,Currency!$A$2:$D$33,3,FALSE))*100),0)</f>
        <v>0</v>
      </c>
      <c r="AJ20" s="21">
        <f>IFERROR((+'B2'!W61/(VLOOKUP(D5,Currency!$A$2:$D$33,3,FALSE))*100),0)</f>
        <v>0</v>
      </c>
      <c r="AK20" s="21">
        <f>IFERROR((+'B2'!X61/(VLOOKUP(D5,Currency!$A$2:$D$33,3,FALSE))*100),0)</f>
        <v>0</v>
      </c>
      <c r="AL20" s="21">
        <f>IFERROR((+'B2'!Y61/(VLOOKUP(D5,Currency!$A$2:$D$33,3,FALSE))*100),0)</f>
        <v>0</v>
      </c>
      <c r="AM20" s="21">
        <f>IFERROR((+'B2'!Z61/(VLOOKUP(D5,Currency!$A$2:$D$33,3,FALSE))*100),0)</f>
        <v>0</v>
      </c>
      <c r="AN20" s="21">
        <f>IFERROR((+'B2'!AA61/(VLOOKUP(D5,Currency!$A$2:$D$33,3,FALSE))*100),0)</f>
        <v>0</v>
      </c>
      <c r="AO20" s="21">
        <f>IFERROR((+'B2'!AB61/(VLOOKUP(D5,Currency!$A$2:$D$33,3,FALSE))*100),0)</f>
        <v>0</v>
      </c>
      <c r="AP20" s="175">
        <f t="shared" si="43"/>
        <v>0</v>
      </c>
      <c r="AR20" s="192" t="s">
        <v>108</v>
      </c>
      <c r="AS20" s="119"/>
      <c r="AT20" s="21">
        <f>IFERROR((+'B3'!S61/(VLOOKUP(D5,Currency!$A$2:$D$33,3,FALSE))*100),0)</f>
        <v>0</v>
      </c>
      <c r="AU20" s="21">
        <f>IFERROR((+'B3'!T61/(VLOOKUP(D5,Currency!$A$2:$D$33,3,FALSE))*100),0)</f>
        <v>0</v>
      </c>
      <c r="AV20" s="21">
        <f>IFERROR((+'B3'!U61/(VLOOKUP(D5,Currency!$A$2:$D$33,3,FALSE))*100),0)</f>
        <v>0</v>
      </c>
      <c r="AW20" s="21">
        <f>IFERROR((+'B3'!V61/(VLOOKUP(D5,Currency!$A$2:$D$33,3,FALSE))*100),0)</f>
        <v>0</v>
      </c>
      <c r="AX20" s="21">
        <f>IFERROR((+'B3'!W61/(VLOOKUP(D5,Currency!$A$2:$D$33,3,FALSE))*100),0)</f>
        <v>0</v>
      </c>
      <c r="AY20" s="21">
        <f>IFERROR((+'B3'!X61/(VLOOKUP(D5,Currency!$A$2:$D$33,3,FALSE))*100),0)</f>
        <v>0</v>
      </c>
      <c r="AZ20" s="21">
        <f>IFERROR((+'B3'!Y61/(VLOOKUP(D5,Currency!$A$2:$D$33,3,FALSE))*100),0)</f>
        <v>0</v>
      </c>
      <c r="BA20" s="21">
        <f>IFERROR((+'B3'!Z61/(VLOOKUP(D5,Currency!$A$2:$D$33,3,FALSE))*100),0)</f>
        <v>0</v>
      </c>
      <c r="BB20" s="21">
        <f>IFERROR((+'B3'!AA61/(VLOOKUP(D5,Currency!$A$2:$D$33,3,FALSE))*100),0)</f>
        <v>0</v>
      </c>
      <c r="BC20" s="21">
        <f>IFERROR((+'B3'!AB61/(VLOOKUP(D5,Currency!$A$2:$D$33,3,FALSE))*100),0)</f>
        <v>0</v>
      </c>
      <c r="BD20" s="175">
        <f t="shared" si="44"/>
        <v>0</v>
      </c>
      <c r="BF20" s="192" t="s">
        <v>108</v>
      </c>
      <c r="BG20" s="119"/>
      <c r="BH20" s="21">
        <f>IFERROR((+'B4'!S61/(VLOOKUP(D5,Currency!$A$2:$D$33,3,FALSE))*100),0)</f>
        <v>0</v>
      </c>
      <c r="BI20" s="21">
        <f>IFERROR((+'B4'!T61/(VLOOKUP(D5,Currency!$A$2:$D$33,3,FALSE))*100),0)</f>
        <v>0</v>
      </c>
      <c r="BJ20" s="21">
        <f>IFERROR((+'B4'!U61/(VLOOKUP(D5,Currency!$A$2:$D$33,3,FALSE))*100),0)</f>
        <v>0</v>
      </c>
      <c r="BK20" s="21">
        <f>IFERROR((+'B4'!V61/(VLOOKUP(D5,Currency!$A$2:$D$33,3,FALSE))*100),0)</f>
        <v>0</v>
      </c>
      <c r="BL20" s="21">
        <f>IFERROR((+'B4'!W61/(VLOOKUP(D5,Currency!$A$2:$D$33,3,FALSE))*100),0)</f>
        <v>0</v>
      </c>
      <c r="BM20" s="21">
        <f>IFERROR((+'B4'!X61/(VLOOKUP(D5,Currency!$A$2:$D$33,3,FALSE))*100),0)</f>
        <v>0</v>
      </c>
      <c r="BN20" s="21">
        <f>IFERROR((+'B4'!Y61/(VLOOKUP(D5,Currency!$A$2:$D$33,3,FALSE))*100),0)</f>
        <v>0</v>
      </c>
      <c r="BO20" s="21">
        <f>IFERROR((+'B4'!Z61/(VLOOKUP(D5,Currency!$A$2:$D$33,3,FALSE))*100),0)</f>
        <v>0</v>
      </c>
      <c r="BP20" s="21">
        <f>IFERROR((+'B4'!AA61/(VLOOKUP(D5,Currency!$A$2:$D$33,3,FALSE))*100),0)</f>
        <v>0</v>
      </c>
      <c r="BQ20" s="21">
        <f>IFERROR((+'B4'!AB61/(VLOOKUP(D5,Currency!$A$2:$D$33,3,FALSE))*100),0)</f>
        <v>0</v>
      </c>
      <c r="BR20" s="175">
        <f t="shared" si="45"/>
        <v>0</v>
      </c>
      <c r="BT20" s="192" t="s">
        <v>108</v>
      </c>
      <c r="BU20" s="119"/>
      <c r="BV20" s="21">
        <f>IFERROR((+'B5'!S61/(VLOOKUP(D5,Currency!$A$2:$D$33,3,FALSE))*100),0)</f>
        <v>0</v>
      </c>
      <c r="BW20" s="21">
        <f>IFERROR((+'B5'!T61/(VLOOKUP(D5,Currency!$A$2:$D$33,3,FALSE))*100),0)</f>
        <v>0</v>
      </c>
      <c r="BX20" s="21">
        <f>IFERROR((+'B5'!U61/(VLOOKUP(D5,Currency!$A$2:$D$33,3,FALSE))*100),0)</f>
        <v>0</v>
      </c>
      <c r="BY20" s="21">
        <f>IFERROR((+'B5'!V61/(VLOOKUP(D5,Currency!$A$2:$D$33,3,FALSE))*100),0)</f>
        <v>0</v>
      </c>
      <c r="BZ20" s="21">
        <f>IFERROR((+'B5'!W61/(VLOOKUP(D5,Currency!$A$2:$D$33,3,FALSE))*100),0)</f>
        <v>0</v>
      </c>
      <c r="CA20" s="21">
        <f>IFERROR((+'B5'!X61/(VLOOKUP(D5,Currency!$A$2:$D$33,3,FALSE))*100),0)</f>
        <v>0</v>
      </c>
      <c r="CB20" s="21">
        <f>IFERROR((+'B5'!Y61/(VLOOKUP(D5,Currency!$A$2:$D$33,3,FALSE))*100),0)</f>
        <v>0</v>
      </c>
      <c r="CC20" s="21">
        <f>IFERROR((+'B5'!Z61/(VLOOKUP(D5,Currency!$A$2:$D$33,3,FALSE))*100),0)</f>
        <v>0</v>
      </c>
      <c r="CD20" s="21">
        <f>IFERROR((+'B5'!AA61/(VLOOKUP(D5,Currency!$A$2:$D$33,3,FALSE))*100),0)</f>
        <v>0</v>
      </c>
      <c r="CE20" s="21">
        <f>IFERROR((+'B5'!AB61/(VLOOKUP(D5,Currency!$A$2:$D$33,3,FALSE))*100),0)</f>
        <v>0</v>
      </c>
      <c r="CF20" s="175">
        <f t="shared" si="46"/>
        <v>0</v>
      </c>
    </row>
    <row r="21" spans="2:84" x14ac:dyDescent="0.2">
      <c r="B21" s="191" t="s">
        <v>545</v>
      </c>
      <c r="C21" s="119"/>
      <c r="D21" s="21">
        <f>IFERROR((Total!D14/(VLOOKUP(D5,Currency!$A$2:$D$33,3,FALSE))*100),0)</f>
        <v>0</v>
      </c>
      <c r="E21" s="21">
        <f>IFERROR((Total!E14/(VLOOKUP(D5,Currency!$A$2:$D$33,3,FALSE))*100),0)</f>
        <v>0</v>
      </c>
      <c r="F21" s="21">
        <f>IFERROR((Total!F14/(VLOOKUP(D5,Currency!$A$2:$D$33,3,FALSE))*100),0)</f>
        <v>0</v>
      </c>
      <c r="G21" s="21">
        <f>IFERROR((Total!G14/(VLOOKUP(D5,Currency!$A$2:$D$33,3,FALSE))*100),0)</f>
        <v>0</v>
      </c>
      <c r="H21" s="21">
        <f>IFERROR((Total!H14/(VLOOKUP(D5,Currency!$A$2:$D$33,3,FALSE))*100),0)</f>
        <v>0</v>
      </c>
      <c r="I21" s="21">
        <f>IFERROR((Total!I14/(VLOOKUP(D5,Currency!$A$2:$D$33,3,FALSE))*100),0)</f>
        <v>0</v>
      </c>
      <c r="J21" s="21">
        <f>IFERROR((Total!J14/(VLOOKUP(D5,Currency!$A$2:$D$33,3,FALSE))*100),0)</f>
        <v>0</v>
      </c>
      <c r="K21" s="21">
        <f>IFERROR((Total!K14/(VLOOKUP(D5,Currency!$A$2:$D$33,3,FALSE))*100),0)</f>
        <v>0</v>
      </c>
      <c r="L21" s="21">
        <f>IFERROR((Total!L14/(VLOOKUP(D5,Currency!$A$2:$D$33,3,FALSE))*100),0)</f>
        <v>0</v>
      </c>
      <c r="M21" s="21">
        <f>IFERROR((Total!M14/(VLOOKUP(D5,Currency!$A$2:$D$33,3,FALSE))*100),0)</f>
        <v>0</v>
      </c>
      <c r="N21" s="175">
        <f t="shared" si="41"/>
        <v>0</v>
      </c>
      <c r="P21" s="191" t="s">
        <v>545</v>
      </c>
      <c r="Q21" s="119"/>
      <c r="R21" s="21">
        <f>IFERROR(('B1'!S62/(VLOOKUP(D5,Currency!$A$2:$D$33,3,FALSE))*100),0)</f>
        <v>0</v>
      </c>
      <c r="S21" s="21">
        <f>IFERROR(('B1'!T62/(VLOOKUP(D5,Currency!$A$2:$D$33,3,FALSE))*100),0)</f>
        <v>0</v>
      </c>
      <c r="T21" s="21">
        <f>IFERROR(('B1'!U62/(VLOOKUP(D5,Currency!$A$2:$D$33,3,FALSE))*100),0)</f>
        <v>0</v>
      </c>
      <c r="U21" s="21">
        <f>IFERROR(('B1'!V62/(VLOOKUP(D5,Currency!$A$2:$D$33,3,FALSE))*100),0)</f>
        <v>0</v>
      </c>
      <c r="V21" s="21">
        <f>IFERROR(('B1'!W62/(VLOOKUP(D5,Currency!$A$2:$D$33,3,FALSE))*100),0)</f>
        <v>0</v>
      </c>
      <c r="W21" s="21">
        <f>IFERROR(('B1'!X62/(VLOOKUP(D5,Currency!$A$2:$D$33,3,FALSE))*100),0)</f>
        <v>0</v>
      </c>
      <c r="X21" s="21">
        <f>IFERROR(('B1'!Y62/(VLOOKUP(D5,Currency!$A$2:$D$33,3,FALSE))*100),0)</f>
        <v>0</v>
      </c>
      <c r="Y21" s="21">
        <f>IFERROR(('B1'!Z62/(VLOOKUP(D5,Currency!$A$2:$D$33,3,FALSE))*100),0)</f>
        <v>0</v>
      </c>
      <c r="Z21" s="21">
        <f>IFERROR(('B1'!AA62/(VLOOKUP(D5,Currency!$A$2:$D$33,3,FALSE))*100),0)</f>
        <v>0</v>
      </c>
      <c r="AA21" s="21">
        <f>IFERROR(('B1'!AB62/(VLOOKUP(D5,Currency!$A$2:$D$33,3,FALSE))*100),0)</f>
        <v>0</v>
      </c>
      <c r="AB21" s="175">
        <f t="shared" si="42"/>
        <v>0</v>
      </c>
      <c r="AD21" s="191" t="s">
        <v>545</v>
      </c>
      <c r="AE21" s="119"/>
      <c r="AF21" s="21">
        <f>IFERROR((+'B2'!S62/(VLOOKUP(D5,Currency!$A$2:$D$33,3,FALSE))*100),0)</f>
        <v>0</v>
      </c>
      <c r="AG21" s="21">
        <f>IFERROR((+'B2'!T62/(VLOOKUP(D5,Currency!$A$2:$D$33,3,FALSE))*100),0)</f>
        <v>0</v>
      </c>
      <c r="AH21" s="21">
        <f>IFERROR((+'B2'!U62/(VLOOKUP(D5,Currency!$A$2:$D$33,3,FALSE))*100),0)</f>
        <v>0</v>
      </c>
      <c r="AI21" s="21">
        <f>IFERROR((+'B2'!V62/(VLOOKUP(D5,Currency!$A$2:$D$33,3,FALSE))*100),0)</f>
        <v>0</v>
      </c>
      <c r="AJ21" s="21">
        <f>IFERROR((+'B2'!W62/(VLOOKUP(D5,Currency!$A$2:$D$33,3,FALSE))*100),0)</f>
        <v>0</v>
      </c>
      <c r="AK21" s="21">
        <f>IFERROR((+'B2'!X62/(VLOOKUP(D5,Currency!$A$2:$D$33,3,FALSE))*100),0)</f>
        <v>0</v>
      </c>
      <c r="AL21" s="21">
        <f>IFERROR((+'B2'!Y62/(VLOOKUP(D5,Currency!$A$2:$D$33,3,FALSE))*100),0)</f>
        <v>0</v>
      </c>
      <c r="AM21" s="21">
        <f>IFERROR((+'B2'!Z62/(VLOOKUP(D5,Currency!$A$2:$D$33,3,FALSE))*100),0)</f>
        <v>0</v>
      </c>
      <c r="AN21" s="21">
        <f>IFERROR((+'B2'!AA62/(VLOOKUP(D5,Currency!$A$2:$D$33,3,FALSE))*100),0)</f>
        <v>0</v>
      </c>
      <c r="AO21" s="21">
        <f>IFERROR((+'B2'!AB62/(VLOOKUP(D5,Currency!$A$2:$D$33,3,FALSE))*100),0)</f>
        <v>0</v>
      </c>
      <c r="AP21" s="175">
        <f t="shared" si="43"/>
        <v>0</v>
      </c>
      <c r="AR21" s="191" t="s">
        <v>545</v>
      </c>
      <c r="AS21" s="119"/>
      <c r="AT21" s="21">
        <f>IFERROR((+'B3'!S62/(VLOOKUP(D5,Currency!$A$2:$D$33,3,FALSE))*100),0)</f>
        <v>0</v>
      </c>
      <c r="AU21" s="21">
        <f>IFERROR((+'B3'!T62/(VLOOKUP(D5,Currency!$A$2:$D$33,3,FALSE))*100),0)</f>
        <v>0</v>
      </c>
      <c r="AV21" s="21">
        <f>IFERROR((+'B3'!U62/(VLOOKUP(D5,Currency!$A$2:$D$33,3,FALSE))*100),0)</f>
        <v>0</v>
      </c>
      <c r="AW21" s="21">
        <f>IFERROR((+'B3'!V62/(VLOOKUP(D5,Currency!$A$2:$D$33,3,FALSE))*100),0)</f>
        <v>0</v>
      </c>
      <c r="AX21" s="21">
        <f>IFERROR((+'B3'!W62/(VLOOKUP(D5,Currency!$A$2:$D$33,3,FALSE))*100),0)</f>
        <v>0</v>
      </c>
      <c r="AY21" s="21">
        <f>IFERROR((+'B3'!X62/(VLOOKUP(D5,Currency!$A$2:$D$33,3,FALSE))*100),0)</f>
        <v>0</v>
      </c>
      <c r="AZ21" s="21">
        <f>IFERROR((+'B3'!Y62/(VLOOKUP(D5,Currency!$A$2:$D$33,3,FALSE))*100),0)</f>
        <v>0</v>
      </c>
      <c r="BA21" s="21">
        <f>IFERROR((+'B3'!Z62/(VLOOKUP(D5,Currency!$A$2:$D$33,3,FALSE))*100),0)</f>
        <v>0</v>
      </c>
      <c r="BB21" s="21">
        <f>IFERROR((+'B3'!AA62/(VLOOKUP(D5,Currency!$A$2:$D$33,3,FALSE))*100),0)</f>
        <v>0</v>
      </c>
      <c r="BC21" s="21">
        <f>IFERROR((+'B3'!AB62/(VLOOKUP(D5,Currency!$A$2:$D$33,3,FALSE))*100),0)</f>
        <v>0</v>
      </c>
      <c r="BD21" s="175">
        <f t="shared" si="44"/>
        <v>0</v>
      </c>
      <c r="BF21" s="191" t="s">
        <v>545</v>
      </c>
      <c r="BG21" s="119"/>
      <c r="BH21" s="21">
        <f>IFERROR((+'B4'!S62/(VLOOKUP(D5,Currency!$A$2:$D$33,3,FALSE))*100),0)</f>
        <v>0</v>
      </c>
      <c r="BI21" s="21">
        <f>IFERROR((+'B4'!T62/(VLOOKUP(D5,Currency!$A$2:$D$33,3,FALSE))*100),0)</f>
        <v>0</v>
      </c>
      <c r="BJ21" s="21">
        <f>IFERROR((+'B4'!U62/(VLOOKUP(D5,Currency!$A$2:$D$33,3,FALSE))*100),0)</f>
        <v>0</v>
      </c>
      <c r="BK21" s="21">
        <f>IFERROR((+'B4'!V62/(VLOOKUP(D5,Currency!$A$2:$D$33,3,FALSE))*100),0)</f>
        <v>0</v>
      </c>
      <c r="BL21" s="21">
        <f>IFERROR((+'B4'!W62/(VLOOKUP(D5,Currency!$A$2:$D$33,3,FALSE))*100),0)</f>
        <v>0</v>
      </c>
      <c r="BM21" s="21">
        <f>IFERROR((+'B4'!X62/(VLOOKUP(D5,Currency!$A$2:$D$33,3,FALSE))*100),0)</f>
        <v>0</v>
      </c>
      <c r="BN21" s="21">
        <f>IFERROR((+'B4'!Y62/(VLOOKUP(D5,Currency!$A$2:$D$33,3,FALSE))*100),0)</f>
        <v>0</v>
      </c>
      <c r="BO21" s="21">
        <f>IFERROR((+'B4'!Z62/(VLOOKUP(D5,Currency!$A$2:$D$33,3,FALSE))*100),0)</f>
        <v>0</v>
      </c>
      <c r="BP21" s="21">
        <f>IFERROR((+'B4'!AA62/(VLOOKUP(D5,Currency!$A$2:$D$33,3,FALSE))*100),0)</f>
        <v>0</v>
      </c>
      <c r="BQ21" s="21">
        <f>IFERROR((+'B4'!AB62/(VLOOKUP(D5,Currency!$A$2:$D$33,3,FALSE))*100),0)</f>
        <v>0</v>
      </c>
      <c r="BR21" s="175">
        <f t="shared" si="45"/>
        <v>0</v>
      </c>
      <c r="BT21" s="191" t="s">
        <v>545</v>
      </c>
      <c r="BU21" s="119"/>
      <c r="BV21" s="21">
        <f>IFERROR((+'B5'!S62/(VLOOKUP(D5,Currency!$A$2:$D$33,3,FALSE))*100),0)</f>
        <v>0</v>
      </c>
      <c r="BW21" s="21">
        <f>IFERROR((+'B5'!T62/(VLOOKUP(D5,Currency!$A$2:$D$33,3,FALSE))*100),0)</f>
        <v>0</v>
      </c>
      <c r="BX21" s="21">
        <f>IFERROR((+'B5'!U62/(VLOOKUP(D5,Currency!$A$2:$D$33,3,FALSE))*100),0)</f>
        <v>0</v>
      </c>
      <c r="BY21" s="21">
        <f>IFERROR((+'B5'!V62/(VLOOKUP(D5,Currency!$A$2:$D$33,3,FALSE))*100),0)</f>
        <v>0</v>
      </c>
      <c r="BZ21" s="21">
        <f>IFERROR((+'B5'!W62/(VLOOKUP(D5,Currency!$A$2:$D$33,3,FALSE))*100),0)</f>
        <v>0</v>
      </c>
      <c r="CA21" s="21">
        <f>IFERROR((+'B5'!X62/(VLOOKUP(D5,Currency!$A$2:$D$33,3,FALSE))*100),0)</f>
        <v>0</v>
      </c>
      <c r="CB21" s="21">
        <f>IFERROR((+'B5'!Y62/(VLOOKUP(D5,Currency!$A$2:$D$33,3,FALSE))*100),0)</f>
        <v>0</v>
      </c>
      <c r="CC21" s="21">
        <f>IFERROR((+'B5'!Z62/(VLOOKUP(D5,Currency!$A$2:$D$33,3,FALSE))*100),0)</f>
        <v>0</v>
      </c>
      <c r="CD21" s="21">
        <f>IFERROR((+'B5'!AA62/(VLOOKUP(D5,Currency!$A$2:$D$33,3,FALSE))*100),0)</f>
        <v>0</v>
      </c>
      <c r="CE21" s="21">
        <f>IFERROR((+'B5'!AB62/(VLOOKUP(D5,Currency!$A$2:$D$33,3,FALSE))*100),0)</f>
        <v>0</v>
      </c>
      <c r="CF21" s="175">
        <f t="shared" si="46"/>
        <v>0</v>
      </c>
    </row>
    <row r="22" spans="2:84" ht="15" thickBot="1" x14ac:dyDescent="0.25">
      <c r="B22" s="193" t="s">
        <v>101</v>
      </c>
      <c r="C22" s="194"/>
      <c r="D22" s="152">
        <f>+SUM(D17:D21)</f>
        <v>0</v>
      </c>
      <c r="E22" s="152">
        <f t="shared" ref="E22:K22" si="47">+SUM(E17:E21)</f>
        <v>180284.91784824035</v>
      </c>
      <c r="F22" s="152">
        <f t="shared" si="47"/>
        <v>188409.63306440809</v>
      </c>
      <c r="G22" s="152">
        <f t="shared" si="47"/>
        <v>190135.08804846017</v>
      </c>
      <c r="H22" s="152">
        <f t="shared" si="47"/>
        <v>98082.902248787155</v>
      </c>
      <c r="I22" s="152">
        <f t="shared" si="47"/>
        <v>0</v>
      </c>
      <c r="J22" s="152">
        <f t="shared" si="47"/>
        <v>0</v>
      </c>
      <c r="K22" s="152">
        <f t="shared" si="47"/>
        <v>0</v>
      </c>
      <c r="L22" s="152">
        <f t="shared" ref="L22:M22" si="48">+SUM(L17:L21)</f>
        <v>0</v>
      </c>
      <c r="M22" s="152">
        <f t="shared" si="48"/>
        <v>0</v>
      </c>
      <c r="N22" s="176">
        <f t="shared" si="41"/>
        <v>656912.54120989575</v>
      </c>
      <c r="P22" s="193" t="s">
        <v>101</v>
      </c>
      <c r="Q22" s="194"/>
      <c r="R22" s="152">
        <f>+SUM(R17:R21)</f>
        <v>0</v>
      </c>
      <c r="S22" s="152">
        <f t="shared" ref="S22:Y22" si="49">+SUM(S17:S21)</f>
        <v>180284.91784824035</v>
      </c>
      <c r="T22" s="152">
        <f t="shared" si="49"/>
        <v>188409.63306440809</v>
      </c>
      <c r="U22" s="152">
        <f t="shared" si="49"/>
        <v>190135.08804846017</v>
      </c>
      <c r="V22" s="152">
        <f t="shared" si="49"/>
        <v>98082.902248787155</v>
      </c>
      <c r="W22" s="152">
        <f t="shared" si="49"/>
        <v>0</v>
      </c>
      <c r="X22" s="152">
        <f t="shared" si="49"/>
        <v>0</v>
      </c>
      <c r="Y22" s="152">
        <f t="shared" si="49"/>
        <v>0</v>
      </c>
      <c r="Z22" s="152">
        <f t="shared" ref="Z22:AA22" si="50">+SUM(Z17:Z21)</f>
        <v>0</v>
      </c>
      <c r="AA22" s="152">
        <f t="shared" si="50"/>
        <v>0</v>
      </c>
      <c r="AB22" s="176">
        <f t="shared" si="42"/>
        <v>656912.54120989575</v>
      </c>
      <c r="AD22" s="193" t="s">
        <v>101</v>
      </c>
      <c r="AE22" s="194"/>
      <c r="AF22" s="152">
        <f>+SUM(AF17:AF21)</f>
        <v>0</v>
      </c>
      <c r="AG22" s="152">
        <f t="shared" ref="AG22:AM22" si="51">+SUM(AG17:AG21)</f>
        <v>0</v>
      </c>
      <c r="AH22" s="152">
        <f t="shared" si="51"/>
        <v>0</v>
      </c>
      <c r="AI22" s="152">
        <f t="shared" si="51"/>
        <v>0</v>
      </c>
      <c r="AJ22" s="152">
        <f t="shared" si="51"/>
        <v>0</v>
      </c>
      <c r="AK22" s="152">
        <f t="shared" si="51"/>
        <v>0</v>
      </c>
      <c r="AL22" s="152">
        <f t="shared" si="51"/>
        <v>0</v>
      </c>
      <c r="AM22" s="152">
        <f t="shared" si="51"/>
        <v>0</v>
      </c>
      <c r="AN22" s="152">
        <f t="shared" ref="AN22:AO22" si="52">+SUM(AN17:AN21)</f>
        <v>0</v>
      </c>
      <c r="AO22" s="152">
        <f t="shared" si="52"/>
        <v>0</v>
      </c>
      <c r="AP22" s="176">
        <f t="shared" si="43"/>
        <v>0</v>
      </c>
      <c r="AR22" s="193" t="s">
        <v>101</v>
      </c>
      <c r="AS22" s="194"/>
      <c r="AT22" s="152">
        <f>+SUM(AT17:AT21)</f>
        <v>0</v>
      </c>
      <c r="AU22" s="152">
        <f t="shared" ref="AU22:BA22" si="53">+SUM(AU17:AU21)</f>
        <v>0</v>
      </c>
      <c r="AV22" s="152">
        <f t="shared" si="53"/>
        <v>0</v>
      </c>
      <c r="AW22" s="152">
        <f t="shared" si="53"/>
        <v>0</v>
      </c>
      <c r="AX22" s="152">
        <f t="shared" si="53"/>
        <v>0</v>
      </c>
      <c r="AY22" s="152">
        <f t="shared" si="53"/>
        <v>0</v>
      </c>
      <c r="AZ22" s="152">
        <f t="shared" si="53"/>
        <v>0</v>
      </c>
      <c r="BA22" s="152">
        <f t="shared" si="53"/>
        <v>0</v>
      </c>
      <c r="BB22" s="152">
        <f t="shared" ref="BB22:BC22" si="54">+SUM(BB17:BB21)</f>
        <v>0</v>
      </c>
      <c r="BC22" s="152">
        <f t="shared" si="54"/>
        <v>0</v>
      </c>
      <c r="BD22" s="176">
        <f t="shared" si="44"/>
        <v>0</v>
      </c>
      <c r="BF22" s="193" t="s">
        <v>101</v>
      </c>
      <c r="BG22" s="194"/>
      <c r="BH22" s="152">
        <f>+SUM(BH17:BH21)</f>
        <v>0</v>
      </c>
      <c r="BI22" s="152">
        <f t="shared" ref="BI22:BO22" si="55">+SUM(BI17:BI21)</f>
        <v>0</v>
      </c>
      <c r="BJ22" s="152">
        <f t="shared" si="55"/>
        <v>0</v>
      </c>
      <c r="BK22" s="152">
        <f t="shared" si="55"/>
        <v>0</v>
      </c>
      <c r="BL22" s="152">
        <f t="shared" si="55"/>
        <v>0</v>
      </c>
      <c r="BM22" s="152">
        <f t="shared" si="55"/>
        <v>0</v>
      </c>
      <c r="BN22" s="152">
        <f t="shared" si="55"/>
        <v>0</v>
      </c>
      <c r="BO22" s="152">
        <f t="shared" si="55"/>
        <v>0</v>
      </c>
      <c r="BP22" s="152">
        <f t="shared" ref="BP22:BQ22" si="56">+SUM(BP17:BP21)</f>
        <v>0</v>
      </c>
      <c r="BQ22" s="152">
        <f t="shared" si="56"/>
        <v>0</v>
      </c>
      <c r="BR22" s="176">
        <f t="shared" si="45"/>
        <v>0</v>
      </c>
      <c r="BT22" s="193" t="s">
        <v>101</v>
      </c>
      <c r="BU22" s="194"/>
      <c r="BV22" s="152">
        <f>+SUM(BV17:BV21)</f>
        <v>0</v>
      </c>
      <c r="BW22" s="152">
        <f t="shared" ref="BW22:CC22" si="57">+SUM(BW17:BW21)</f>
        <v>0</v>
      </c>
      <c r="BX22" s="152">
        <f t="shared" si="57"/>
        <v>0</v>
      </c>
      <c r="BY22" s="152">
        <f t="shared" si="57"/>
        <v>0</v>
      </c>
      <c r="BZ22" s="152">
        <f t="shared" si="57"/>
        <v>0</v>
      </c>
      <c r="CA22" s="152">
        <f t="shared" si="57"/>
        <v>0</v>
      </c>
      <c r="CB22" s="152">
        <f t="shared" si="57"/>
        <v>0</v>
      </c>
      <c r="CC22" s="152">
        <f t="shared" si="57"/>
        <v>0</v>
      </c>
      <c r="CD22" s="152">
        <f t="shared" ref="CD22:CE22" si="58">+SUM(CD17:CD21)</f>
        <v>0</v>
      </c>
      <c r="CE22" s="152">
        <f t="shared" si="58"/>
        <v>0</v>
      </c>
      <c r="CF22" s="176">
        <f t="shared" si="46"/>
        <v>0</v>
      </c>
    </row>
    <row r="23" spans="2:84" ht="15" thickBot="1" x14ac:dyDescent="0.25">
      <c r="B23" s="23"/>
      <c r="C23" s="16"/>
      <c r="D23" s="16"/>
      <c r="E23" s="177"/>
      <c r="F23" s="177"/>
      <c r="G23" s="177"/>
      <c r="H23" s="177"/>
      <c r="I23" s="177"/>
      <c r="J23" s="177"/>
      <c r="K23" s="177"/>
      <c r="L23" s="177"/>
      <c r="M23" s="177"/>
      <c r="N23" s="177"/>
      <c r="P23" s="23"/>
      <c r="Q23" s="16"/>
      <c r="R23" s="16"/>
      <c r="S23" s="177"/>
      <c r="T23" s="177"/>
      <c r="U23" s="177"/>
      <c r="V23" s="177"/>
      <c r="W23" s="177"/>
      <c r="X23" s="177"/>
      <c r="Y23" s="177"/>
      <c r="Z23" s="177"/>
      <c r="AA23" s="177"/>
      <c r="AB23" s="177"/>
      <c r="AD23" s="23"/>
      <c r="AE23" s="16"/>
      <c r="AF23" s="16"/>
      <c r="AG23" s="177"/>
      <c r="AH23" s="177"/>
      <c r="AI23" s="177"/>
      <c r="AJ23" s="177"/>
      <c r="AK23" s="177"/>
      <c r="AL23" s="177"/>
      <c r="AM23" s="177"/>
      <c r="AN23" s="177"/>
      <c r="AO23" s="177"/>
      <c r="AP23" s="177"/>
      <c r="AR23" s="23"/>
      <c r="AS23" s="16"/>
      <c r="AT23" s="16"/>
      <c r="AU23" s="177"/>
      <c r="AV23" s="177"/>
      <c r="AW23" s="177"/>
      <c r="AX23" s="177"/>
      <c r="AY23" s="177"/>
      <c r="AZ23" s="177"/>
      <c r="BA23" s="177"/>
      <c r="BB23" s="177"/>
      <c r="BC23" s="177"/>
      <c r="BD23" s="177"/>
      <c r="BF23" s="23"/>
      <c r="BG23" s="16"/>
      <c r="BH23" s="16"/>
      <c r="BI23" s="177"/>
      <c r="BJ23" s="177"/>
      <c r="BK23" s="177"/>
      <c r="BL23" s="177"/>
      <c r="BM23" s="177"/>
      <c r="BN23" s="177"/>
      <c r="BO23" s="177"/>
      <c r="BP23" s="177"/>
      <c r="BQ23" s="177"/>
      <c r="BR23" s="177"/>
      <c r="BT23" s="23"/>
      <c r="BU23" s="16"/>
      <c r="BV23" s="16"/>
      <c r="BW23" s="177"/>
      <c r="BX23" s="177"/>
      <c r="BY23" s="177"/>
      <c r="BZ23" s="177"/>
      <c r="CA23" s="177"/>
      <c r="CB23" s="177"/>
      <c r="CC23" s="177"/>
      <c r="CD23" s="177"/>
      <c r="CE23" s="177"/>
      <c r="CF23" s="177"/>
    </row>
    <row r="24" spans="2:84" ht="18" x14ac:dyDescent="0.25">
      <c r="B24" s="186" t="s">
        <v>605</v>
      </c>
      <c r="C24" s="130"/>
      <c r="D24" s="130"/>
      <c r="E24" s="130"/>
      <c r="F24" s="130"/>
      <c r="G24" s="130"/>
      <c r="H24" s="130"/>
      <c r="I24" s="130"/>
      <c r="J24" s="130"/>
      <c r="K24" s="130"/>
      <c r="L24" s="130"/>
      <c r="M24" s="130"/>
      <c r="N24" s="172"/>
      <c r="P24" s="186" t="s">
        <v>605</v>
      </c>
      <c r="Q24" s="130"/>
      <c r="R24" s="130"/>
      <c r="S24" s="130"/>
      <c r="T24" s="130"/>
      <c r="U24" s="130"/>
      <c r="V24" s="130"/>
      <c r="W24" s="130"/>
      <c r="X24" s="130"/>
      <c r="Y24" s="130"/>
      <c r="Z24" s="130"/>
      <c r="AA24" s="130"/>
      <c r="AB24" s="172"/>
      <c r="AD24" s="186" t="s">
        <v>605</v>
      </c>
      <c r="AE24" s="130"/>
      <c r="AF24" s="130"/>
      <c r="AG24" s="130"/>
      <c r="AH24" s="130"/>
      <c r="AI24" s="130"/>
      <c r="AJ24" s="130"/>
      <c r="AK24" s="130"/>
      <c r="AL24" s="130"/>
      <c r="AM24" s="130"/>
      <c r="AN24" s="130"/>
      <c r="AO24" s="130"/>
      <c r="AP24" s="172"/>
      <c r="AR24" s="186" t="s">
        <v>605</v>
      </c>
      <c r="AS24" s="130"/>
      <c r="AT24" s="130"/>
      <c r="AU24" s="130"/>
      <c r="AV24" s="130"/>
      <c r="AW24" s="130"/>
      <c r="AX24" s="130"/>
      <c r="AY24" s="130"/>
      <c r="AZ24" s="130"/>
      <c r="BA24" s="130"/>
      <c r="BB24" s="130"/>
      <c r="BC24" s="130"/>
      <c r="BD24" s="172"/>
      <c r="BF24" s="186" t="s">
        <v>605</v>
      </c>
      <c r="BG24" s="130"/>
      <c r="BH24" s="130"/>
      <c r="BI24" s="130"/>
      <c r="BJ24" s="130"/>
      <c r="BK24" s="130"/>
      <c r="BL24" s="130"/>
      <c r="BM24" s="130"/>
      <c r="BN24" s="130"/>
      <c r="BO24" s="130"/>
      <c r="BP24" s="130"/>
      <c r="BQ24" s="130"/>
      <c r="BR24" s="172"/>
      <c r="BT24" s="186" t="s">
        <v>605</v>
      </c>
      <c r="BU24" s="130"/>
      <c r="BV24" s="130"/>
      <c r="BW24" s="130"/>
      <c r="BX24" s="130"/>
      <c r="BY24" s="130"/>
      <c r="BZ24" s="130"/>
      <c r="CA24" s="130"/>
      <c r="CB24" s="130"/>
      <c r="CC24" s="130"/>
      <c r="CD24" s="130"/>
      <c r="CE24" s="130"/>
      <c r="CF24" s="172"/>
    </row>
    <row r="25" spans="2:84" x14ac:dyDescent="0.2">
      <c r="B25" s="161"/>
      <c r="C25" s="16"/>
      <c r="D25" s="16"/>
      <c r="E25" s="195"/>
      <c r="F25" s="195"/>
      <c r="G25" s="195"/>
      <c r="H25" s="195"/>
      <c r="I25" s="195"/>
      <c r="J25" s="195"/>
      <c r="K25" s="195"/>
      <c r="L25" s="195"/>
      <c r="M25" s="195"/>
      <c r="N25" s="178"/>
      <c r="P25" s="161"/>
      <c r="Q25" s="16"/>
      <c r="R25" s="16"/>
      <c r="S25" s="195"/>
      <c r="T25" s="195"/>
      <c r="U25" s="195"/>
      <c r="V25" s="195"/>
      <c r="W25" s="195"/>
      <c r="X25" s="195"/>
      <c r="Y25" s="195"/>
      <c r="Z25" s="195"/>
      <c r="AA25" s="195"/>
      <c r="AB25" s="178"/>
      <c r="AD25" s="161"/>
      <c r="AE25" s="16"/>
      <c r="AF25" s="16"/>
      <c r="AG25" s="195"/>
      <c r="AH25" s="195"/>
      <c r="AI25" s="195"/>
      <c r="AJ25" s="195"/>
      <c r="AK25" s="195"/>
      <c r="AL25" s="195"/>
      <c r="AM25" s="195"/>
      <c r="AN25" s="195"/>
      <c r="AO25" s="195"/>
      <c r="AP25" s="178"/>
      <c r="AR25" s="161"/>
      <c r="AS25" s="16"/>
      <c r="AT25" s="16"/>
      <c r="AU25" s="195"/>
      <c r="AV25" s="195"/>
      <c r="AW25" s="195"/>
      <c r="AX25" s="195"/>
      <c r="AY25" s="195"/>
      <c r="AZ25" s="195"/>
      <c r="BA25" s="195"/>
      <c r="BB25" s="195"/>
      <c r="BC25" s="195"/>
      <c r="BD25" s="178"/>
      <c r="BF25" s="161"/>
      <c r="BG25" s="16"/>
      <c r="BH25" s="16"/>
      <c r="BI25" s="195"/>
      <c r="BJ25" s="195"/>
      <c r="BK25" s="195"/>
      <c r="BL25" s="195"/>
      <c r="BM25" s="195"/>
      <c r="BN25" s="195"/>
      <c r="BO25" s="195"/>
      <c r="BP25" s="195"/>
      <c r="BQ25" s="195"/>
      <c r="BR25" s="178"/>
      <c r="BT25" s="161"/>
      <c r="BU25" s="16"/>
      <c r="BV25" s="16"/>
      <c r="BW25" s="195"/>
      <c r="BX25" s="195"/>
      <c r="BY25" s="195"/>
      <c r="BZ25" s="195"/>
      <c r="CA25" s="195"/>
      <c r="CB25" s="195"/>
      <c r="CC25" s="195"/>
      <c r="CD25" s="195"/>
      <c r="CE25" s="195"/>
      <c r="CF25" s="178"/>
    </row>
    <row r="26" spans="2:84" x14ac:dyDescent="0.2">
      <c r="B26" s="161" t="str">
        <f>+$D$5</f>
        <v>EUR</v>
      </c>
      <c r="C26" s="4"/>
      <c r="D26" s="8">
        <f>+D12</f>
        <v>2025</v>
      </c>
      <c r="E26" s="8">
        <f t="shared" ref="E26:M26" si="59">+E12</f>
        <v>2026</v>
      </c>
      <c r="F26" s="8">
        <f t="shared" si="59"/>
        <v>2027</v>
      </c>
      <c r="G26" s="8">
        <f t="shared" si="59"/>
        <v>2028</v>
      </c>
      <c r="H26" s="8">
        <f t="shared" si="59"/>
        <v>2029</v>
      </c>
      <c r="I26" s="8">
        <f t="shared" si="59"/>
        <v>2030</v>
      </c>
      <c r="J26" s="8">
        <f t="shared" si="59"/>
        <v>2031</v>
      </c>
      <c r="K26" s="8">
        <f t="shared" si="59"/>
        <v>2032</v>
      </c>
      <c r="L26" s="8">
        <f t="shared" si="59"/>
        <v>2033</v>
      </c>
      <c r="M26" s="8">
        <f t="shared" si="59"/>
        <v>2034</v>
      </c>
      <c r="N26" s="133" t="s">
        <v>34</v>
      </c>
      <c r="P26" s="161" t="str">
        <f>+$D$5</f>
        <v>EUR</v>
      </c>
      <c r="Q26" s="4"/>
      <c r="R26" s="8">
        <f>+R12</f>
        <v>2025</v>
      </c>
      <c r="S26" s="8">
        <f t="shared" ref="S26:AA26" si="60">+S12</f>
        <v>2026</v>
      </c>
      <c r="T26" s="8">
        <f t="shared" si="60"/>
        <v>2027</v>
      </c>
      <c r="U26" s="8">
        <f t="shared" si="60"/>
        <v>2028</v>
      </c>
      <c r="V26" s="8">
        <f t="shared" si="60"/>
        <v>2029</v>
      </c>
      <c r="W26" s="8">
        <f t="shared" si="60"/>
        <v>2030</v>
      </c>
      <c r="X26" s="8">
        <f t="shared" si="60"/>
        <v>2031</v>
      </c>
      <c r="Y26" s="8">
        <f t="shared" si="60"/>
        <v>2032</v>
      </c>
      <c r="Z26" s="8">
        <f t="shared" si="60"/>
        <v>2033</v>
      </c>
      <c r="AA26" s="8">
        <f t="shared" si="60"/>
        <v>2034</v>
      </c>
      <c r="AB26" s="133" t="s">
        <v>34</v>
      </c>
      <c r="AD26" s="161" t="str">
        <f>+$D$5</f>
        <v>EUR</v>
      </c>
      <c r="AE26" s="4"/>
      <c r="AF26" s="8">
        <f>+AF12</f>
        <v>2025</v>
      </c>
      <c r="AG26" s="8">
        <f t="shared" ref="AG26:AO26" si="61">+AG12</f>
        <v>2026</v>
      </c>
      <c r="AH26" s="8">
        <f t="shared" si="61"/>
        <v>2027</v>
      </c>
      <c r="AI26" s="8">
        <f t="shared" si="61"/>
        <v>2028</v>
      </c>
      <c r="AJ26" s="8">
        <f t="shared" si="61"/>
        <v>2029</v>
      </c>
      <c r="AK26" s="8">
        <f t="shared" si="61"/>
        <v>2030</v>
      </c>
      <c r="AL26" s="8">
        <f t="shared" si="61"/>
        <v>2031</v>
      </c>
      <c r="AM26" s="8">
        <f t="shared" si="61"/>
        <v>2032</v>
      </c>
      <c r="AN26" s="8">
        <f t="shared" si="61"/>
        <v>2033</v>
      </c>
      <c r="AO26" s="8">
        <f t="shared" si="61"/>
        <v>2034</v>
      </c>
      <c r="AP26" s="133" t="s">
        <v>34</v>
      </c>
      <c r="AR26" s="161" t="str">
        <f>+$D$5</f>
        <v>EUR</v>
      </c>
      <c r="AS26" s="4"/>
      <c r="AT26" s="8">
        <f>+AT12</f>
        <v>2025</v>
      </c>
      <c r="AU26" s="8">
        <f t="shared" ref="AU26:BC26" si="62">+AU12</f>
        <v>2026</v>
      </c>
      <c r="AV26" s="8">
        <f t="shared" si="62"/>
        <v>2027</v>
      </c>
      <c r="AW26" s="8">
        <f t="shared" si="62"/>
        <v>2028</v>
      </c>
      <c r="AX26" s="8">
        <f t="shared" si="62"/>
        <v>2029</v>
      </c>
      <c r="AY26" s="8">
        <f t="shared" si="62"/>
        <v>2030</v>
      </c>
      <c r="AZ26" s="8">
        <f t="shared" si="62"/>
        <v>2031</v>
      </c>
      <c r="BA26" s="8">
        <f t="shared" si="62"/>
        <v>2032</v>
      </c>
      <c r="BB26" s="8">
        <f t="shared" si="62"/>
        <v>2033</v>
      </c>
      <c r="BC26" s="8">
        <f t="shared" si="62"/>
        <v>2034</v>
      </c>
      <c r="BD26" s="133" t="s">
        <v>34</v>
      </c>
      <c r="BF26" s="161" t="str">
        <f>+$D$5</f>
        <v>EUR</v>
      </c>
      <c r="BG26" s="4"/>
      <c r="BH26" s="8">
        <f>+BH12</f>
        <v>2025</v>
      </c>
      <c r="BI26" s="8">
        <f t="shared" ref="BI26:BQ26" si="63">+BI12</f>
        <v>2026</v>
      </c>
      <c r="BJ26" s="8">
        <f t="shared" si="63"/>
        <v>2027</v>
      </c>
      <c r="BK26" s="8">
        <f t="shared" si="63"/>
        <v>2028</v>
      </c>
      <c r="BL26" s="8">
        <f t="shared" si="63"/>
        <v>2029</v>
      </c>
      <c r="BM26" s="8">
        <f t="shared" si="63"/>
        <v>2030</v>
      </c>
      <c r="BN26" s="8">
        <f t="shared" si="63"/>
        <v>2031</v>
      </c>
      <c r="BO26" s="8">
        <f t="shared" si="63"/>
        <v>2032</v>
      </c>
      <c r="BP26" s="8">
        <f t="shared" si="63"/>
        <v>2033</v>
      </c>
      <c r="BQ26" s="8">
        <f t="shared" si="63"/>
        <v>2034</v>
      </c>
      <c r="BR26" s="133" t="s">
        <v>34</v>
      </c>
      <c r="BT26" s="161" t="str">
        <f>+$D$5</f>
        <v>EUR</v>
      </c>
      <c r="BU26" s="4"/>
      <c r="BV26" s="8">
        <f>+BV12</f>
        <v>2025</v>
      </c>
      <c r="BW26" s="8">
        <f t="shared" ref="BW26:CE26" si="64">+BW12</f>
        <v>2026</v>
      </c>
      <c r="BX26" s="8">
        <f t="shared" si="64"/>
        <v>2027</v>
      </c>
      <c r="BY26" s="8">
        <f t="shared" si="64"/>
        <v>2028</v>
      </c>
      <c r="BZ26" s="8">
        <f t="shared" si="64"/>
        <v>2029</v>
      </c>
      <c r="CA26" s="8">
        <f t="shared" si="64"/>
        <v>2030</v>
      </c>
      <c r="CB26" s="8">
        <f t="shared" si="64"/>
        <v>2031</v>
      </c>
      <c r="CC26" s="8">
        <f t="shared" si="64"/>
        <v>2032</v>
      </c>
      <c r="CD26" s="8">
        <f t="shared" si="64"/>
        <v>2033</v>
      </c>
      <c r="CE26" s="8">
        <f t="shared" si="64"/>
        <v>2034</v>
      </c>
      <c r="CF26" s="133" t="s">
        <v>34</v>
      </c>
    </row>
    <row r="27" spans="2:84" x14ac:dyDescent="0.2">
      <c r="B27" s="189" t="s">
        <v>74</v>
      </c>
      <c r="C27" s="120"/>
      <c r="D27" s="28">
        <f>IFERROR((Total!D20/(VLOOKUP(D5,Currency!$A$2:$D$33,3,FALSE))*100),0)</f>
        <v>0</v>
      </c>
      <c r="E27" s="120">
        <f>IFERROR((Total!E20/(VLOOKUP(D5,Currency!$A$2:$D$33,3,FALSE))*100),0)</f>
        <v>124795.62572033558</v>
      </c>
      <c r="F27" s="28">
        <f>IFERROR((Total!F20/(VLOOKUP(D5,Currency!$A$2:$D$33,3,FALSE))*100),0)</f>
        <v>128615.0794714412</v>
      </c>
      <c r="G27" s="120">
        <f>IFERROR((Total!G20/(VLOOKUP(D5,Currency!$A$2:$D$33,3,FALSE))*100),0)</f>
        <v>132675.76188051142</v>
      </c>
      <c r="H27" s="28">
        <f>IFERROR((Total!H20/(VLOOKUP(D5,Currency!$A$2:$D$33,3,FALSE))*100),0)</f>
        <v>56688.734621673066</v>
      </c>
      <c r="I27" s="120">
        <f>IFERROR((Total!I20/(VLOOKUP(D5,Currency!$A$2:$D$33,3,FALSE))*100),0)</f>
        <v>0</v>
      </c>
      <c r="J27" s="28">
        <f>IFERROR((Total!J20/(VLOOKUP(D5,Currency!$A$2:$D$33,3,FALSE))*100),0)</f>
        <v>0</v>
      </c>
      <c r="K27" s="28">
        <f>IFERROR((Total!K20/(VLOOKUP(D5,Currency!$A$2:$D$33,3,FALSE))*100),0)</f>
        <v>0</v>
      </c>
      <c r="L27" s="28">
        <f>IFERROR((Total!L20/(VLOOKUP(D5,Currency!$A$2:$D$33,3,FALSE))*100),0)</f>
        <v>0</v>
      </c>
      <c r="M27" s="28">
        <f>IFERROR((Total!M20/(VLOOKUP(D5,Currency!$A$2:$D$33,3,FALSE))*100),0)</f>
        <v>0</v>
      </c>
      <c r="N27" s="179">
        <f>SUM(D27:M27)</f>
        <v>442775.20169396128</v>
      </c>
      <c r="P27" s="189" t="s">
        <v>74</v>
      </c>
      <c r="Q27" s="120"/>
      <c r="R27" s="28">
        <f>IFERROR(('B1'!S70/(VLOOKUP(D5,Currency!$A$2:$D$33,3,FALSE))*100),0)</f>
        <v>0</v>
      </c>
      <c r="S27" s="120">
        <f>IFERROR(('B1'!T70/(VLOOKUP(D5,Currency!$A$2:$D$33,3,FALSE))*100),0)</f>
        <v>124795.62572033558</v>
      </c>
      <c r="T27" s="28">
        <f>IFERROR(('B1'!U70/(VLOOKUP(D5,Currency!$A$2:$D$33,3,FALSE))*100),0)</f>
        <v>128615.0794714412</v>
      </c>
      <c r="U27" s="120">
        <f>IFERROR(('B1'!V70/(VLOOKUP(D5,Currency!$A$2:$D$33,3,FALSE))*100),0)</f>
        <v>132675.76188051142</v>
      </c>
      <c r="V27" s="28">
        <f>IFERROR(('B1'!W70/(VLOOKUP(D5,Currency!$A$2:$D$33,3,FALSE))*100),0)</f>
        <v>56688.734621673066</v>
      </c>
      <c r="W27" s="120">
        <f>IFERROR(('B1'!X70/(VLOOKUP(D5,Currency!$A$2:$D$33,3,FALSE))*100),0)</f>
        <v>0</v>
      </c>
      <c r="X27" s="28">
        <f>IFERROR(('B1'!Y70/(VLOOKUP(D5,Currency!$A$2:$D$33,3,FALSE))*100),0)</f>
        <v>0</v>
      </c>
      <c r="Y27" s="28">
        <f>IFERROR(('B1'!Z70/(VLOOKUP(D5,Currency!$A$2:$D$33,3,FALSE))*100),0)</f>
        <v>0</v>
      </c>
      <c r="Z27" s="28">
        <f>IFERROR(('B1'!AA70/(VLOOKUP(D5,Currency!$A$2:$D$33,3,FALSE))*100),0)</f>
        <v>0</v>
      </c>
      <c r="AA27" s="28">
        <f>IFERROR(('B1'!AB70/(VLOOKUP(D5,Currency!$A$2:$D$33,3,FALSE))*100),0)</f>
        <v>0</v>
      </c>
      <c r="AB27" s="179">
        <f>SUM(R27:AA27)</f>
        <v>442775.20169396128</v>
      </c>
      <c r="AD27" s="189" t="s">
        <v>74</v>
      </c>
      <c r="AE27" s="120"/>
      <c r="AF27" s="28">
        <f>IFERROR(('B2'!S70/(VLOOKUP(D5,Currency!$A$2:$D$33,3,FALSE))*100),0)</f>
        <v>0</v>
      </c>
      <c r="AG27" s="120">
        <f>IFERROR(('B2'!T70/(VLOOKUP(D5,Currency!$A$2:$D$33,3,FALSE))*100),0)</f>
        <v>0</v>
      </c>
      <c r="AH27" s="28">
        <f>IFERROR(('B2'!U70/(VLOOKUP(D5,Currency!$A$2:$D$33,3,FALSE))*100),0)</f>
        <v>0</v>
      </c>
      <c r="AI27" s="120">
        <f>IFERROR(('B2'!V70/(VLOOKUP(D5,Currency!$A$2:$D$33,3,FALSE))*100),0)</f>
        <v>0</v>
      </c>
      <c r="AJ27" s="28">
        <f>IFERROR(('B2'!W70/(VLOOKUP(D5,Currency!$A$2:$D$33,3,FALSE))*100),0)</f>
        <v>0</v>
      </c>
      <c r="AK27" s="120">
        <f>IFERROR(('B2'!X70/(VLOOKUP(D5,Currency!$A$2:$D$33,3,FALSE))*100),0)</f>
        <v>0</v>
      </c>
      <c r="AL27" s="28">
        <f>IFERROR(('B2'!Y70/(VLOOKUP(D5,Currency!$A$2:$D$33,3,FALSE))*100),0)</f>
        <v>0</v>
      </c>
      <c r="AM27" s="28">
        <f>IFERROR(('B2'!Z70/(VLOOKUP(D5,Currency!$A$2:$D$33,3,FALSE))*100),0)</f>
        <v>0</v>
      </c>
      <c r="AN27" s="28">
        <f>IFERROR(('B2'!AA70/(VLOOKUP(D5,Currency!$A$2:$D$33,3,FALSE))*100),0)</f>
        <v>0</v>
      </c>
      <c r="AO27" s="28">
        <f>IFERROR(('B2'!AB70/(VLOOKUP(D5,Currency!$A$2:$D$33,3,FALSE))*100),0)</f>
        <v>0</v>
      </c>
      <c r="AP27" s="179">
        <f>SUM(AF27:AO27)</f>
        <v>0</v>
      </c>
      <c r="AR27" s="189" t="s">
        <v>74</v>
      </c>
      <c r="AS27" s="120"/>
      <c r="AT27" s="28">
        <f>IFERROR(('B3'!S70/(VLOOKUP(D5,Currency!$A$2:$D$33,3,FALSE))*100),0)</f>
        <v>0</v>
      </c>
      <c r="AU27" s="120">
        <f>IFERROR(('B3'!T70/(VLOOKUP(D5,Currency!$A$2:$D$33,3,FALSE))*100),0)</f>
        <v>0</v>
      </c>
      <c r="AV27" s="28">
        <f>IFERROR(('B3'!U70/(VLOOKUP(D5,Currency!$A$2:$D$33,3,FALSE))*100),0)</f>
        <v>0</v>
      </c>
      <c r="AW27" s="120">
        <f>IFERROR(('B3'!V70/(VLOOKUP(D5,Currency!$A$2:$D$33,3,FALSE))*100),0)</f>
        <v>0</v>
      </c>
      <c r="AX27" s="28">
        <f>IFERROR(('B3'!W70/(VLOOKUP(D5,Currency!$A$2:$D$33,3,FALSE))*100),0)</f>
        <v>0</v>
      </c>
      <c r="AY27" s="120">
        <f>IFERROR(('B3'!X70/(VLOOKUP(D5,Currency!$A$2:$D$33,3,FALSE))*100),0)</f>
        <v>0</v>
      </c>
      <c r="AZ27" s="28">
        <f>IFERROR(('B3'!Y70/(VLOOKUP(D5,Currency!$A$2:$D$33,3,FALSE))*100),0)</f>
        <v>0</v>
      </c>
      <c r="BA27" s="28">
        <f>IFERROR(('B3'!Z70/(VLOOKUP(D5,Currency!$A$2:$D$33,3,FALSE))*100),0)</f>
        <v>0</v>
      </c>
      <c r="BB27" s="28">
        <f>IFERROR(('B3'!AA70/(VLOOKUP(D5,Currency!$A$2:$D$33,3,FALSE))*100),0)</f>
        <v>0</v>
      </c>
      <c r="BC27" s="28">
        <f>IFERROR(('B3'!AB70/(VLOOKUP(D5,Currency!$A$2:$D$33,3,FALSE))*100),0)</f>
        <v>0</v>
      </c>
      <c r="BD27" s="179">
        <f>SUM(AT27:BC27)</f>
        <v>0</v>
      </c>
      <c r="BF27" s="189" t="s">
        <v>74</v>
      </c>
      <c r="BG27" s="120"/>
      <c r="BH27" s="28">
        <f>IFERROR(('B4'!S70/(VLOOKUP(D5,Currency!$A$2:$D$33,3,FALSE))*100),0)</f>
        <v>0</v>
      </c>
      <c r="BI27" s="120">
        <f>IFERROR(('B4'!T70/(VLOOKUP(D5,Currency!$A$2:$D$33,3,FALSE))*100),0)</f>
        <v>0</v>
      </c>
      <c r="BJ27" s="28">
        <f>IFERROR(('B4'!U70/(VLOOKUP(D5,Currency!$A$2:$D$33,3,FALSE))*100),0)</f>
        <v>0</v>
      </c>
      <c r="BK27" s="120">
        <f>IFERROR(('B4'!V70/(VLOOKUP(D5,Currency!$A$2:$D$33,3,FALSE))*100),0)</f>
        <v>0</v>
      </c>
      <c r="BL27" s="28">
        <f>IFERROR(('B4'!W70/(VLOOKUP(D5,Currency!$A$2:$D$33,3,FALSE))*100),0)</f>
        <v>0</v>
      </c>
      <c r="BM27" s="120">
        <f>IFERROR(('B4'!X70/(VLOOKUP(D5,Currency!$A$2:$D$33,3,FALSE))*100),0)</f>
        <v>0</v>
      </c>
      <c r="BN27" s="28">
        <f>IFERROR(('B4'!Y70/(VLOOKUP(D5,Currency!$A$2:$D$33,3,FALSE))*100),0)</f>
        <v>0</v>
      </c>
      <c r="BO27" s="28">
        <f>IFERROR(('B4'!Z70/(VLOOKUP(D5,Currency!$A$2:$D$33,3,FALSE))*100),0)</f>
        <v>0</v>
      </c>
      <c r="BP27" s="28">
        <f>IFERROR(('B4'!AA70/(VLOOKUP(D5,Currency!$A$2:$D$33,3,FALSE))*100),0)</f>
        <v>0</v>
      </c>
      <c r="BQ27" s="28">
        <f>IFERROR(('B4'!AB70/(VLOOKUP(D5,Currency!$A$2:$D$33,3,FALSE))*100),0)</f>
        <v>0</v>
      </c>
      <c r="BR27" s="179">
        <f>SUM(BH27:BQ27)</f>
        <v>0</v>
      </c>
      <c r="BT27" s="189" t="s">
        <v>74</v>
      </c>
      <c r="BU27" s="120"/>
      <c r="BV27" s="28">
        <f>IFERROR(('B5'!S70/(VLOOKUP(D5,Currency!$A$2:$D$33,3,FALSE))*100),0)</f>
        <v>0</v>
      </c>
      <c r="BW27" s="120">
        <f>IFERROR(('B5'!T70/(VLOOKUP(D5,Currency!$A$2:$D$33,3,FALSE))*100),0)</f>
        <v>0</v>
      </c>
      <c r="BX27" s="28">
        <f>IFERROR(('B5'!U70/(VLOOKUP(D5,Currency!$A$2:$D$33,3,FALSE))*100),0)</f>
        <v>0</v>
      </c>
      <c r="BY27" s="120">
        <f>IFERROR(('B5'!V70/(VLOOKUP(D5,Currency!$A$2:$D$33,3,FALSE))*100),0)</f>
        <v>0</v>
      </c>
      <c r="BZ27" s="28">
        <f>IFERROR(('B5'!W70/(VLOOKUP(D5,Currency!$A$2:$D$33,3,FALSE))*100),0)</f>
        <v>0</v>
      </c>
      <c r="CA27" s="120">
        <f>IFERROR(('B5'!X70/(VLOOKUP(D5,Currency!$A$2:$D$33,3,FALSE))*100),0)</f>
        <v>0</v>
      </c>
      <c r="CB27" s="28">
        <f>IFERROR(('B5'!Y70/(VLOOKUP(D5,Currency!$A$2:$D$33,3,FALSE))*100),0)</f>
        <v>0</v>
      </c>
      <c r="CC27" s="28">
        <f>IFERROR(('B5'!Z70/(VLOOKUP(D5,Currency!$A$2:$D$33,3,FALSE))*100),0)</f>
        <v>0</v>
      </c>
      <c r="CD27" s="28">
        <f>IFERROR(('B5'!AA70/(VLOOKUP(D5,Currency!$A$2:$D$33,3,FALSE))*100),0)</f>
        <v>0</v>
      </c>
      <c r="CE27" s="28">
        <f>IFERROR(('B5'!AB70/(VLOOKUP(D5,Currency!$A$2:$D$33,3,FALSE))*100),0)</f>
        <v>0</v>
      </c>
      <c r="CF27" s="179">
        <f>SUM(BV27:CE27)</f>
        <v>0</v>
      </c>
    </row>
    <row r="28" spans="2:84" x14ac:dyDescent="0.2">
      <c r="B28" s="161" t="s">
        <v>75</v>
      </c>
      <c r="C28" s="121"/>
      <c r="D28" s="122">
        <f>IFERROR((Total!D21/(VLOOKUP(D5,Currency!$A$2:$D$33,3,FALSE))*100),0)</f>
        <v>0</v>
      </c>
      <c r="E28" s="121">
        <f>IFERROR((Total!E21/(VLOOKUP(D5,Currency!$A$2:$D$33,3,FALSE))*100),0)</f>
        <v>0</v>
      </c>
      <c r="F28" s="122">
        <f>IFERROR((Total!F21/(VLOOKUP(D5,Currency!$A$2:$D$33,3,FALSE))*100),0)</f>
        <v>0</v>
      </c>
      <c r="G28" s="121">
        <f>IFERROR((Total!G21/(VLOOKUP(D5,Currency!$A$2:$D$33,3,FALSE))*100),0)</f>
        <v>0</v>
      </c>
      <c r="H28" s="122">
        <f>IFERROR((Total!H21/(VLOOKUP(D5,Currency!$A$2:$D$33,3,FALSE))*100),0)</f>
        <v>0</v>
      </c>
      <c r="I28" s="121">
        <f>IFERROR((Total!I21/(VLOOKUP(D5,Currency!$A$2:$D$33,3,FALSE))*100),0)</f>
        <v>0</v>
      </c>
      <c r="J28" s="122">
        <f>IFERROR((Total!J21/(VLOOKUP(D5,Currency!$A$2:$D$33,3,FALSE))*100),0)</f>
        <v>0</v>
      </c>
      <c r="K28" s="122">
        <f>IFERROR((Total!K21/(VLOOKUP(D5,Currency!$A$2:$D$33,3,FALSE))*100),0)</f>
        <v>0</v>
      </c>
      <c r="L28" s="122">
        <f>IFERROR((Total!L21/(VLOOKUP(D5,Currency!$A$2:$D$33,3,FALSE))*100),0)</f>
        <v>0</v>
      </c>
      <c r="M28" s="122">
        <f>IFERROR((Total!M21/(VLOOKUP(D5,Currency!$A$2:$D$33,3,FALSE))*100),0)</f>
        <v>0</v>
      </c>
      <c r="N28" s="180">
        <f t="shared" ref="N28:N36" si="65">SUM(D28:M28)</f>
        <v>0</v>
      </c>
      <c r="P28" s="161" t="s">
        <v>75</v>
      </c>
      <c r="Q28" s="121"/>
      <c r="R28" s="122">
        <f>IFERROR(('B1'!S71/(VLOOKUP(D5,Currency!$A$2:$D$33,3,FALSE))*100),0)</f>
        <v>0</v>
      </c>
      <c r="S28" s="121">
        <f>IFERROR(('B1'!T71/(VLOOKUP(D5,Currency!$A$2:$D$33,3,FALSE))*100),0)</f>
        <v>0</v>
      </c>
      <c r="T28" s="122">
        <f>IFERROR(('B1'!U71/(VLOOKUP(D5,Currency!$A$2:$D$33,3,FALSE))*100),0)</f>
        <v>0</v>
      </c>
      <c r="U28" s="121">
        <f>IFERROR(('B1'!V71/(VLOOKUP(D5,Currency!$A$2:$D$33,3,FALSE))*100),0)</f>
        <v>0</v>
      </c>
      <c r="V28" s="122">
        <f>IFERROR(('B1'!W71/(VLOOKUP(D5,Currency!$A$2:$D$33,3,FALSE))*100),0)</f>
        <v>0</v>
      </c>
      <c r="W28" s="121">
        <f>IFERROR(('B1'!X71/(VLOOKUP(D5,Currency!$A$2:$D$33,3,FALSE))*100),0)</f>
        <v>0</v>
      </c>
      <c r="X28" s="122">
        <f>IFERROR(('B1'!Y71/(VLOOKUP(D5,Currency!$A$2:$D$33,3,FALSE))*100),0)</f>
        <v>0</v>
      </c>
      <c r="Y28" s="122">
        <f>IFERROR(('B1'!Z71/(VLOOKUP(D5,Currency!$A$2:$D$33,3,FALSE))*100),0)</f>
        <v>0</v>
      </c>
      <c r="Z28" s="122">
        <f>IFERROR(('B1'!AA71/(VLOOKUP(D5,Currency!$A$2:$D$33,3,FALSE))*100),0)</f>
        <v>0</v>
      </c>
      <c r="AA28" s="122">
        <f>IFERROR(('B1'!AB71/(VLOOKUP(D5,Currency!$A$2:$D$33,3,FALSE))*100),0)</f>
        <v>0</v>
      </c>
      <c r="AB28" s="180">
        <f t="shared" ref="AB28:AB36" si="66">SUM(R28:AA28)</f>
        <v>0</v>
      </c>
      <c r="AD28" s="161" t="s">
        <v>75</v>
      </c>
      <c r="AE28" s="121"/>
      <c r="AF28" s="122">
        <f>IFERROR(('B2'!S71/(VLOOKUP(D5,Currency!$A$2:$D$33,3,FALSE))*100),0)</f>
        <v>0</v>
      </c>
      <c r="AG28" s="121">
        <f>IFERROR(('B2'!T71/(VLOOKUP(D5,Currency!$A$2:$D$33,3,FALSE))*100),0)</f>
        <v>0</v>
      </c>
      <c r="AH28" s="122">
        <f>IFERROR(('B2'!U71/(VLOOKUP(D5,Currency!$A$2:$D$33,3,FALSE))*100),0)</f>
        <v>0</v>
      </c>
      <c r="AI28" s="121">
        <f>IFERROR(('B2'!V71/(VLOOKUP(D5,Currency!$A$2:$D$33,3,FALSE))*100),0)</f>
        <v>0</v>
      </c>
      <c r="AJ28" s="122">
        <f>IFERROR(('B2'!W71/(VLOOKUP(D5,Currency!$A$2:$D$33,3,FALSE))*100),0)</f>
        <v>0</v>
      </c>
      <c r="AK28" s="121">
        <f>IFERROR(('B2'!X71/(VLOOKUP(D5,Currency!$A$2:$D$33,3,FALSE))*100),0)</f>
        <v>0</v>
      </c>
      <c r="AL28" s="122">
        <f>IFERROR(('B2'!Y71/(VLOOKUP(D5,Currency!$A$2:$D$33,3,FALSE))*100),0)</f>
        <v>0</v>
      </c>
      <c r="AM28" s="122">
        <f>IFERROR(('B2'!Z71/(VLOOKUP(D5,Currency!$A$2:$D$33,3,FALSE))*100),0)</f>
        <v>0</v>
      </c>
      <c r="AN28" s="122">
        <f>IFERROR(('B2'!AA71/(VLOOKUP(D5,Currency!$A$2:$D$33,3,FALSE))*100),0)</f>
        <v>0</v>
      </c>
      <c r="AO28" s="122">
        <f>IFERROR(('B2'!AB71/(VLOOKUP(D5,Currency!$A$2:$D$33,3,FALSE))*100),0)</f>
        <v>0</v>
      </c>
      <c r="AP28" s="180">
        <f t="shared" ref="AP28:AP36" si="67">SUM(AF28:AO28)</f>
        <v>0</v>
      </c>
      <c r="AR28" s="161" t="s">
        <v>75</v>
      </c>
      <c r="AS28" s="121"/>
      <c r="AT28" s="122">
        <f>IFERROR(('B3'!S71/(VLOOKUP(D5,Currency!$A$2:$D$33,3,FALSE))*100),0)</f>
        <v>0</v>
      </c>
      <c r="AU28" s="121">
        <f>IFERROR(('B3'!T71/(VLOOKUP(D5,Currency!$A$2:$D$33,3,FALSE))*100),0)</f>
        <v>0</v>
      </c>
      <c r="AV28" s="122">
        <f>IFERROR(('B3'!U71/(VLOOKUP(D5,Currency!$A$2:$D$33,3,FALSE))*100),0)</f>
        <v>0</v>
      </c>
      <c r="AW28" s="121">
        <f>IFERROR(('B3'!V71/(VLOOKUP(D5,Currency!$A$2:$D$33,3,FALSE))*100),0)</f>
        <v>0</v>
      </c>
      <c r="AX28" s="122">
        <f>IFERROR(('B3'!W71/(VLOOKUP(D5,Currency!$A$2:$D$33,3,FALSE))*100),0)</f>
        <v>0</v>
      </c>
      <c r="AY28" s="121">
        <f>IFERROR(('B3'!X71/(VLOOKUP(D5,Currency!$A$2:$D$33,3,FALSE))*100),0)</f>
        <v>0</v>
      </c>
      <c r="AZ28" s="122">
        <f>IFERROR(('B3'!Y71/(VLOOKUP(D5,Currency!$A$2:$D$33,3,FALSE))*100),0)</f>
        <v>0</v>
      </c>
      <c r="BA28" s="122">
        <f>IFERROR(('B3'!Z71/(VLOOKUP(D5,Currency!$A$2:$D$33,3,FALSE))*100),0)</f>
        <v>0</v>
      </c>
      <c r="BB28" s="122">
        <f>IFERROR(('B3'!AA71/(VLOOKUP(D5,Currency!$A$2:$D$33,3,FALSE))*100),0)</f>
        <v>0</v>
      </c>
      <c r="BC28" s="122">
        <f>IFERROR(('B3'!AB71/(VLOOKUP(D5,Currency!$A$2:$D$33,3,FALSE))*100),0)</f>
        <v>0</v>
      </c>
      <c r="BD28" s="180">
        <f t="shared" ref="BD28:BD36" si="68">SUM(AT28:BC28)</f>
        <v>0</v>
      </c>
      <c r="BF28" s="161" t="s">
        <v>75</v>
      </c>
      <c r="BG28" s="121"/>
      <c r="BH28" s="122">
        <f>IFERROR(('B4'!S71/(VLOOKUP(D5,Currency!$A$2:$D$33,3,FALSE))*100),0)</f>
        <v>0</v>
      </c>
      <c r="BI28" s="121">
        <f>IFERROR(('B4'!T71/(VLOOKUP(D5,Currency!$A$2:$D$33,3,FALSE))*100),0)</f>
        <v>0</v>
      </c>
      <c r="BJ28" s="122">
        <f>IFERROR(('B4'!U71/(VLOOKUP(D5,Currency!$A$2:$D$33,3,FALSE))*100),0)</f>
        <v>0</v>
      </c>
      <c r="BK28" s="121">
        <f>IFERROR(('B4'!V71/(VLOOKUP(D5,Currency!$A$2:$D$33,3,FALSE))*100),0)</f>
        <v>0</v>
      </c>
      <c r="BL28" s="122">
        <f>IFERROR(('B4'!W71/(VLOOKUP(D5,Currency!$A$2:$D$33,3,FALSE))*100),0)</f>
        <v>0</v>
      </c>
      <c r="BM28" s="121">
        <f>IFERROR(('B4'!X71/(VLOOKUP(D5,Currency!$A$2:$D$33,3,FALSE))*100),0)</f>
        <v>0</v>
      </c>
      <c r="BN28" s="122">
        <f>IFERROR(('B4'!Y71/(VLOOKUP(D5,Currency!$A$2:$D$33,3,FALSE))*100),0)</f>
        <v>0</v>
      </c>
      <c r="BO28" s="122">
        <f>IFERROR(('B4'!Z71/(VLOOKUP(D5,Currency!$A$2:$D$33,3,FALSE))*100),0)</f>
        <v>0</v>
      </c>
      <c r="BP28" s="122">
        <f>IFERROR(('B4'!AA71/(VLOOKUP(D5,Currency!$A$2:$D$33,3,FALSE))*100),0)</f>
        <v>0</v>
      </c>
      <c r="BQ28" s="122">
        <f>IFERROR(('B4'!AB71/(VLOOKUP(D5,Currency!$A$2:$D$33,3,FALSE))*100),0)</f>
        <v>0</v>
      </c>
      <c r="BR28" s="180">
        <f t="shared" ref="BR28:BR36" si="69">SUM(BH28:BQ28)</f>
        <v>0</v>
      </c>
      <c r="BT28" s="161" t="s">
        <v>75</v>
      </c>
      <c r="BU28" s="121"/>
      <c r="BV28" s="122">
        <f>IFERROR(('B5'!S71/(VLOOKUP(D5,Currency!$A$2:$D$33,3,FALSE))*100),0)</f>
        <v>0</v>
      </c>
      <c r="BW28" s="121">
        <f>IFERROR(('B5'!T71/(VLOOKUP(D5,Currency!$A$2:$D$33,3,FALSE))*100),0)</f>
        <v>0</v>
      </c>
      <c r="BX28" s="122">
        <f>IFERROR(('B5'!U71/(VLOOKUP(D5,Currency!$A$2:$D$33,3,FALSE))*100),0)</f>
        <v>0</v>
      </c>
      <c r="BY28" s="121">
        <f>IFERROR(('B5'!V71/(VLOOKUP(D5,Currency!$A$2:$D$33,3,FALSE))*100),0)</f>
        <v>0</v>
      </c>
      <c r="BZ28" s="122">
        <f>IFERROR(('B5'!W71/(VLOOKUP(D5,Currency!$A$2:$D$33,3,FALSE))*100),0)</f>
        <v>0</v>
      </c>
      <c r="CA28" s="121">
        <f>IFERROR(('B5'!X71/(VLOOKUP(D5,Currency!$A$2:$D$33,3,FALSE))*100),0)</f>
        <v>0</v>
      </c>
      <c r="CB28" s="122">
        <f>IFERROR(('B5'!Y71/(VLOOKUP(D5,Currency!$A$2:$D$33,3,FALSE))*100),0)</f>
        <v>0</v>
      </c>
      <c r="CC28" s="122">
        <f>IFERROR(('B5'!Z71/(VLOOKUP(D5,Currency!$A$2:$D$33,3,FALSE))*100),0)</f>
        <v>0</v>
      </c>
      <c r="CD28" s="122">
        <f>IFERROR(('B5'!AA71/(VLOOKUP(D5,Currency!$A$2:$D$33,3,FALSE))*100),0)</f>
        <v>0</v>
      </c>
      <c r="CE28" s="122">
        <f>IFERROR(('B5'!AB71/(VLOOKUP(D5,Currency!$A$2:$D$33,3,FALSE))*100),0)</f>
        <v>0</v>
      </c>
      <c r="CF28" s="180">
        <f t="shared" ref="CF28:CF36" si="70">SUM(BV28:CE28)</f>
        <v>0</v>
      </c>
    </row>
    <row r="29" spans="2:84" x14ac:dyDescent="0.2">
      <c r="B29" s="190" t="s">
        <v>76</v>
      </c>
      <c r="C29" s="151"/>
      <c r="D29" s="146">
        <f>IFERROR((Total!D22/(VLOOKUP(D5,Currency!$A$2:$D$33,3,FALSE))*100),0)</f>
        <v>0</v>
      </c>
      <c r="E29" s="146">
        <f>IFERROR((Total!E22/(VLOOKUP(D5,Currency!$A$2:$D$33,3,FALSE))*100),0)</f>
        <v>124795.62572033558</v>
      </c>
      <c r="F29" s="146">
        <f>IFERROR((Total!F22/(VLOOKUP(D5,Currency!$A$2:$D$33,3,FALSE))*100),0)</f>
        <v>128615.0794714412</v>
      </c>
      <c r="G29" s="146">
        <f>IFERROR((Total!G22/(VLOOKUP(D5,Currency!$A$2:$D$33,3,FALSE))*100),0)</f>
        <v>132675.76188051142</v>
      </c>
      <c r="H29" s="146">
        <f>IFERROR((Total!H22/(VLOOKUP(D5,Currency!$A$2:$D$33,3,FALSE))*100),0)</f>
        <v>56688.734621673066</v>
      </c>
      <c r="I29" s="146">
        <f>IFERROR((Total!I22/(VLOOKUP(D5,Currency!$A$2:$D$33,3,FALSE))*100),0)</f>
        <v>0</v>
      </c>
      <c r="J29" s="151">
        <f>IFERROR((Total!J22/(VLOOKUP(D5,Currency!$A$2:$D$33,3,FALSE))*100),0)</f>
        <v>0</v>
      </c>
      <c r="K29" s="146">
        <f>IFERROR((Total!K22/(VLOOKUP(D5,Currency!$A$2:$D$33,3,FALSE))*100),0)</f>
        <v>0</v>
      </c>
      <c r="L29" s="146">
        <f>IFERROR((Total!L22/(VLOOKUP(D5,Currency!$A$2:$D$33,3,FALSE))*100),0)</f>
        <v>0</v>
      </c>
      <c r="M29" s="146">
        <f>IFERROR((Total!M22/(VLOOKUP(D5,Currency!$A$2:$D$33,3,FALSE))*100),0)</f>
        <v>0</v>
      </c>
      <c r="N29" s="181">
        <f t="shared" si="65"/>
        <v>442775.20169396128</v>
      </c>
      <c r="P29" s="190" t="s">
        <v>76</v>
      </c>
      <c r="Q29" s="151"/>
      <c r="R29" s="146">
        <f>IFERROR(('B1'!S72/(VLOOKUP(D5,Currency!$A$2:$D$33,3,FALSE))*100),0)</f>
        <v>0</v>
      </c>
      <c r="S29" s="146">
        <f>IFERROR(('B1'!T72/(VLOOKUP(D5,Currency!$A$2:$D$33,3,FALSE))*100),0)</f>
        <v>124795.62572033558</v>
      </c>
      <c r="T29" s="146">
        <f>IFERROR(('B1'!U72/(VLOOKUP(D5,Currency!$A$2:$D$33,3,FALSE))*100),0)</f>
        <v>128615.0794714412</v>
      </c>
      <c r="U29" s="146">
        <f>IFERROR(('B1'!V72/(VLOOKUP(D5,Currency!$A$2:$D$33,3,FALSE))*100),0)</f>
        <v>132675.76188051142</v>
      </c>
      <c r="V29" s="146">
        <f>IFERROR(('B1'!W72/(VLOOKUP(D5,Currency!$A$2:$D$33,3,FALSE))*100),0)</f>
        <v>56688.734621673066</v>
      </c>
      <c r="W29" s="146">
        <f>IFERROR(('B1'!X72/(VLOOKUP(D5,Currency!$A$2:$D$33,3,FALSE))*100),0)</f>
        <v>0</v>
      </c>
      <c r="X29" s="151">
        <f>IFERROR(('B1'!Y72/(VLOOKUP(D5,Currency!$A$2:$D$33,3,FALSE))*100),0)</f>
        <v>0</v>
      </c>
      <c r="Y29" s="146">
        <f>IFERROR(('B1'!Z72/(VLOOKUP(D5,Currency!$A$2:$D$33,3,FALSE))*100),0)</f>
        <v>0</v>
      </c>
      <c r="Z29" s="146">
        <f>IFERROR(('B1'!AA72/(VLOOKUP(D5,Currency!$A$2:$D$33,3,FALSE))*100),0)</f>
        <v>0</v>
      </c>
      <c r="AA29" s="146">
        <f>IFERROR(('B1'!AB72/(VLOOKUP(D5,Currency!$A$2:$D$33,3,FALSE))*100),0)</f>
        <v>0</v>
      </c>
      <c r="AB29" s="181">
        <f t="shared" si="66"/>
        <v>442775.20169396128</v>
      </c>
      <c r="AD29" s="190" t="s">
        <v>76</v>
      </c>
      <c r="AE29" s="151"/>
      <c r="AF29" s="146">
        <f>IFERROR(('B2'!S72/(VLOOKUP(D5,Currency!$A$2:$D$33,3,FALSE))*100),0)</f>
        <v>0</v>
      </c>
      <c r="AG29" s="146">
        <f>IFERROR(('B2'!T72/(VLOOKUP(D5,Currency!$A$2:$D$33,3,FALSE))*100),0)</f>
        <v>0</v>
      </c>
      <c r="AH29" s="146">
        <f>IFERROR(('B2'!U72/(VLOOKUP(D5,Currency!$A$2:$D$33,3,FALSE))*100),0)</f>
        <v>0</v>
      </c>
      <c r="AI29" s="146">
        <f>IFERROR(('B2'!V72/(VLOOKUP(D5,Currency!$A$2:$D$33,3,FALSE))*100),0)</f>
        <v>0</v>
      </c>
      <c r="AJ29" s="146">
        <f>IFERROR(('B2'!W72/(VLOOKUP(D5,Currency!$A$2:$D$33,3,FALSE))*100),0)</f>
        <v>0</v>
      </c>
      <c r="AK29" s="146">
        <f>IFERROR(('B2'!X72/(VLOOKUP(D5,Currency!$A$2:$D$33,3,FALSE))*100),0)</f>
        <v>0</v>
      </c>
      <c r="AL29" s="151">
        <f>IFERROR(('B2'!Y72/(VLOOKUP(D5,Currency!$A$2:$D$33,3,FALSE))*100),0)</f>
        <v>0</v>
      </c>
      <c r="AM29" s="146">
        <f>IFERROR(('B2'!Z72/(VLOOKUP(D5,Currency!$A$2:$D$33,3,FALSE))*100),0)</f>
        <v>0</v>
      </c>
      <c r="AN29" s="146">
        <f>IFERROR(('B2'!AA72/(VLOOKUP(D5,Currency!$A$2:$D$33,3,FALSE))*100),0)</f>
        <v>0</v>
      </c>
      <c r="AO29" s="146">
        <f>IFERROR(('B2'!AB72/(VLOOKUP(D5,Currency!$A$2:$D$33,3,FALSE))*100),0)</f>
        <v>0</v>
      </c>
      <c r="AP29" s="181">
        <f t="shared" si="67"/>
        <v>0</v>
      </c>
      <c r="AR29" s="190" t="s">
        <v>76</v>
      </c>
      <c r="AS29" s="151"/>
      <c r="AT29" s="146">
        <f>IFERROR(('B3'!S72/(VLOOKUP(D5,Currency!$A$2:$D$33,3,FALSE))*100),0)</f>
        <v>0</v>
      </c>
      <c r="AU29" s="146">
        <f>IFERROR(('B3'!T72/(VLOOKUP(D5,Currency!$A$2:$D$33,3,FALSE))*100),0)</f>
        <v>0</v>
      </c>
      <c r="AV29" s="146">
        <f>IFERROR(('B3'!U72/(VLOOKUP(D5,Currency!$A$2:$D$33,3,FALSE))*100),0)</f>
        <v>0</v>
      </c>
      <c r="AW29" s="146">
        <f>IFERROR(('B3'!V72/(VLOOKUP(D5,Currency!$A$2:$D$33,3,FALSE))*100),0)</f>
        <v>0</v>
      </c>
      <c r="AX29" s="146">
        <f>IFERROR(('B3'!W72/(VLOOKUP(D5,Currency!$A$2:$D$33,3,FALSE))*100),0)</f>
        <v>0</v>
      </c>
      <c r="AY29" s="146">
        <f>IFERROR(('B3'!X72/(VLOOKUP(D5,Currency!$A$2:$D$33,3,FALSE))*100),0)</f>
        <v>0</v>
      </c>
      <c r="AZ29" s="151">
        <f>IFERROR(('B3'!Y72/(VLOOKUP(D5,Currency!$A$2:$D$33,3,FALSE))*100),0)</f>
        <v>0</v>
      </c>
      <c r="BA29" s="146">
        <f>IFERROR(('B3'!Z72/(VLOOKUP(D5,Currency!$A$2:$D$33,3,FALSE))*100),0)</f>
        <v>0</v>
      </c>
      <c r="BB29" s="146">
        <f>IFERROR(('B3'!AA72/(VLOOKUP(D5,Currency!$A$2:$D$33,3,FALSE))*100),0)</f>
        <v>0</v>
      </c>
      <c r="BC29" s="146">
        <f>IFERROR(('B3'!AB72/(VLOOKUP(D5,Currency!$A$2:$D$33,3,FALSE))*100),0)</f>
        <v>0</v>
      </c>
      <c r="BD29" s="181">
        <f t="shared" si="68"/>
        <v>0</v>
      </c>
      <c r="BF29" s="190" t="s">
        <v>76</v>
      </c>
      <c r="BG29" s="151"/>
      <c r="BH29" s="146">
        <f>IFERROR(('B4'!S72/(VLOOKUP(D5,Currency!$A$2:$D$33,3,FALSE))*100),0)</f>
        <v>0</v>
      </c>
      <c r="BI29" s="146">
        <f>IFERROR(('B4'!T72/(VLOOKUP(D5,Currency!$A$2:$D$33,3,FALSE))*100),0)</f>
        <v>0</v>
      </c>
      <c r="BJ29" s="146">
        <f>IFERROR(('B4'!U72/(VLOOKUP(D5,Currency!$A$2:$D$33,3,FALSE))*100),0)</f>
        <v>0</v>
      </c>
      <c r="BK29" s="146">
        <f>IFERROR(('B4'!V72/(VLOOKUP(D5,Currency!$A$2:$D$33,3,FALSE))*100),0)</f>
        <v>0</v>
      </c>
      <c r="BL29" s="146">
        <f>IFERROR(('B4'!W72/(VLOOKUP(D5,Currency!$A$2:$D$33,3,FALSE))*100),0)</f>
        <v>0</v>
      </c>
      <c r="BM29" s="146">
        <f>IFERROR(('B4'!X72/(VLOOKUP(D5,Currency!$A$2:$D$33,3,FALSE))*100),0)</f>
        <v>0</v>
      </c>
      <c r="BN29" s="151">
        <f>IFERROR(('B4'!Y72/(VLOOKUP(D5,Currency!$A$2:$D$33,3,FALSE))*100),0)</f>
        <v>0</v>
      </c>
      <c r="BO29" s="146">
        <f>IFERROR(('B4'!Z72/(VLOOKUP(D5,Currency!$A$2:$D$33,3,FALSE))*100),0)</f>
        <v>0</v>
      </c>
      <c r="BP29" s="146">
        <f>IFERROR(('B4'!AA72/(VLOOKUP(D5,Currency!$A$2:$D$33,3,FALSE))*100),0)</f>
        <v>0</v>
      </c>
      <c r="BQ29" s="146">
        <f>IFERROR(('B4'!AB72/(VLOOKUP(D5,Currency!$A$2:$D$33,3,FALSE))*100),0)</f>
        <v>0</v>
      </c>
      <c r="BR29" s="181">
        <f t="shared" si="69"/>
        <v>0</v>
      </c>
      <c r="BT29" s="190" t="s">
        <v>76</v>
      </c>
      <c r="BU29" s="151"/>
      <c r="BV29" s="146">
        <f>IFERROR(('B5'!S72/(VLOOKUP(D5,Currency!$A$2:$D$33,3,FALSE))*100),0)</f>
        <v>0</v>
      </c>
      <c r="BW29" s="146">
        <f>IFERROR(('B5'!T72/(VLOOKUP(D5,Currency!$A$2:$D$33,3,FALSE))*100),0)</f>
        <v>0</v>
      </c>
      <c r="BX29" s="146">
        <f>IFERROR(('B5'!U72/(VLOOKUP(D5,Currency!$A$2:$D$33,3,FALSE))*100),0)</f>
        <v>0</v>
      </c>
      <c r="BY29" s="146">
        <f>IFERROR(('B5'!V72/(VLOOKUP(D5,Currency!$A$2:$D$33,3,FALSE))*100),0)</f>
        <v>0</v>
      </c>
      <c r="BZ29" s="146">
        <f>IFERROR(('B5'!W72/(VLOOKUP(D5,Currency!$A$2:$D$33,3,FALSE))*100),0)</f>
        <v>0</v>
      </c>
      <c r="CA29" s="146">
        <f>IFERROR(('B5'!X72/(VLOOKUP(D5,Currency!$A$2:$D$33,3,FALSE))*100),0)</f>
        <v>0</v>
      </c>
      <c r="CB29" s="151">
        <f>IFERROR(('B5'!Y72/(VLOOKUP(D5,Currency!$A$2:$D$33,3,FALSE))*100),0)</f>
        <v>0</v>
      </c>
      <c r="CC29" s="146">
        <f>IFERROR(('B5'!Z72/(VLOOKUP(D5,Currency!$A$2:$D$33,3,FALSE))*100),0)</f>
        <v>0</v>
      </c>
      <c r="CD29" s="146">
        <f>IFERROR(('B5'!AA72/(VLOOKUP(D5,Currency!$A$2:$D$33,3,FALSE))*100),0)</f>
        <v>0</v>
      </c>
      <c r="CE29" s="146">
        <f>IFERROR(('B5'!AB72/(VLOOKUP(D5,Currency!$A$2:$D$33,3,FALSE))*100),0)</f>
        <v>0</v>
      </c>
      <c r="CF29" s="181">
        <f t="shared" si="70"/>
        <v>0</v>
      </c>
    </row>
    <row r="30" spans="2:84" x14ac:dyDescent="0.2">
      <c r="B30" s="190" t="s">
        <v>77</v>
      </c>
      <c r="C30" s="151"/>
      <c r="D30" s="146">
        <f>IFERROR((Total!D23/(VLOOKUP(D5,Currency!$A$2:$D$33,3,FALSE))*100),0)</f>
        <v>0</v>
      </c>
      <c r="E30" s="196">
        <f>IFERROR((Total!E23/(VLOOKUP(D5,Currency!$A$2:$D$33,3,FALSE))*100),0)</f>
        <v>19432.308558256722</v>
      </c>
      <c r="F30" s="196">
        <f>IFERROR((Total!F23/(VLOOKUP(D5,Currency!$A$2:$D$33,3,FALSE))*100),0)</f>
        <v>22112.626980085235</v>
      </c>
      <c r="G30" s="196">
        <f>IFERROR((Total!G23/(VLOOKUP(D5,Currency!$A$2:$D$33,3,FALSE))*100),0)</f>
        <v>19432.308558256722</v>
      </c>
      <c r="H30" s="196">
        <f>IFERROR((Total!H23/(VLOOKUP(D5,Currency!$A$2:$D$33,3,FALSE))*100),0)</f>
        <v>21777.587177356672</v>
      </c>
      <c r="I30" s="196">
        <f>IFERROR((Total!I23/(VLOOKUP(D5,Currency!$A$2:$D$33,3,FALSE))*100),0)</f>
        <v>0</v>
      </c>
      <c r="J30" s="197">
        <f>IFERROR((Total!J23/(VLOOKUP(D5,Currency!$A$2:$D$33,3,FALSE))*100),0)</f>
        <v>0</v>
      </c>
      <c r="K30" s="196">
        <f>IFERROR((Total!K23/(VLOOKUP(D5,Currency!$A$2:$D$33,3,FALSE))*100),0)</f>
        <v>0</v>
      </c>
      <c r="L30" s="196">
        <f>IFERROR((Total!L23/(VLOOKUP(D5,Currency!$A$2:$D$33,3,FALSE))*100),0)</f>
        <v>0</v>
      </c>
      <c r="M30" s="196">
        <f>IFERROR((Total!M23/(VLOOKUP(D5,Currency!$A$2:$D$33,3,FALSE))*100),0)</f>
        <v>0</v>
      </c>
      <c r="N30" s="181">
        <f t="shared" si="65"/>
        <v>82754.831273955351</v>
      </c>
      <c r="P30" s="190" t="s">
        <v>77</v>
      </c>
      <c r="Q30" s="151"/>
      <c r="R30" s="146">
        <f>IFERROR(('B1'!S73/(VLOOKUP(D5,Currency!$A$2:$D$33,3,FALSE))*100),0)</f>
        <v>0</v>
      </c>
      <c r="S30" s="196">
        <f>IFERROR(('B1'!T73/(VLOOKUP(D5,Currency!$A$2:$D$33,3,FALSE))*100),0)</f>
        <v>19432.308558256722</v>
      </c>
      <c r="T30" s="196">
        <f>IFERROR(('B1'!U73/(VLOOKUP(D5,Currency!$A$2:$D$33,3,FALSE))*100),0)</f>
        <v>22112.626980085235</v>
      </c>
      <c r="U30" s="196">
        <f>IFERROR(('B1'!V73/(VLOOKUP(D5,Currency!$A$2:$D$33,3,FALSE))*100),0)</f>
        <v>19432.308558256722</v>
      </c>
      <c r="V30" s="196">
        <f>IFERROR(('B1'!W73/(VLOOKUP(D5,Currency!$A$2:$D$33,3,FALSE))*100),0)</f>
        <v>21777.587177356672</v>
      </c>
      <c r="W30" s="196">
        <f>IFERROR(('B1'!X73/(VLOOKUP(D5,Currency!$A$2:$D$33,3,FALSE))*100),0)</f>
        <v>0</v>
      </c>
      <c r="X30" s="197">
        <f>IFERROR(('B1'!Y73/(VLOOKUP(D5,Currency!$A$2:$D$33,3,FALSE))*100),0)</f>
        <v>0</v>
      </c>
      <c r="Y30" s="196">
        <f>IFERROR(('B1'!Z73/(VLOOKUP(D5,Currency!$A$2:$D$33,3,FALSE))*100),0)</f>
        <v>0</v>
      </c>
      <c r="Z30" s="196">
        <f>IFERROR(('B1'!AA73/(VLOOKUP(D5,Currency!$A$2:$D$33,3,FALSE))*100),0)</f>
        <v>0</v>
      </c>
      <c r="AA30" s="196">
        <f>IFERROR(('B1'!AB73/(VLOOKUP(D5,Currency!$A$2:$D$33,3,FALSE))*100),0)</f>
        <v>0</v>
      </c>
      <c r="AB30" s="181">
        <f t="shared" si="66"/>
        <v>82754.831273955351</v>
      </c>
      <c r="AD30" s="190" t="s">
        <v>77</v>
      </c>
      <c r="AE30" s="151"/>
      <c r="AF30" s="146">
        <f>IFERROR(('B2'!S73/(VLOOKUP(D5,Currency!$A$2:$D$33,3,FALSE))*100),0)</f>
        <v>0</v>
      </c>
      <c r="AG30" s="196">
        <f>IFERROR(('B2'!T73/(VLOOKUP(D5,Currency!$A$2:$D$33,3,FALSE))*100),0)</f>
        <v>0</v>
      </c>
      <c r="AH30" s="196">
        <f>IFERROR(('B2'!U73/(VLOOKUP(D5,Currency!$A$2:$D$33,3,FALSE))*100),0)</f>
        <v>0</v>
      </c>
      <c r="AI30" s="196">
        <f>IFERROR(('B2'!V73/(VLOOKUP(D5,Currency!$A$2:$D$33,3,FALSE))*100),0)</f>
        <v>0</v>
      </c>
      <c r="AJ30" s="196">
        <f>IFERROR(('B2'!W73/(VLOOKUP(D5,Currency!$A$2:$D$33,3,FALSE))*100),0)</f>
        <v>0</v>
      </c>
      <c r="AK30" s="196">
        <f>IFERROR(('B2'!X73/(VLOOKUP(D5,Currency!$A$2:$D$33,3,FALSE))*100),0)</f>
        <v>0</v>
      </c>
      <c r="AL30" s="197">
        <f>IFERROR(('B2'!Y73/(VLOOKUP(D5,Currency!$A$2:$D$33,3,FALSE))*100),0)</f>
        <v>0</v>
      </c>
      <c r="AM30" s="196">
        <f>IFERROR(('B2'!Z73/(VLOOKUP(D5,Currency!$A$2:$D$33,3,FALSE))*100),0)</f>
        <v>0</v>
      </c>
      <c r="AN30" s="196">
        <f>IFERROR(('B2'!AA73/(VLOOKUP(D5,Currency!$A$2:$D$33,3,FALSE))*100),0)</f>
        <v>0</v>
      </c>
      <c r="AO30" s="196">
        <f>IFERROR(('B2'!AB73/(VLOOKUP(D5,Currency!$A$2:$D$33,3,FALSE))*100),0)</f>
        <v>0</v>
      </c>
      <c r="AP30" s="181">
        <f t="shared" si="67"/>
        <v>0</v>
      </c>
      <c r="AR30" s="190" t="s">
        <v>77</v>
      </c>
      <c r="AS30" s="151"/>
      <c r="AT30" s="146">
        <f>IFERROR(('B3'!S73/(VLOOKUP(D5,Currency!$A$2:$D$33,3,FALSE))*100),0)</f>
        <v>0</v>
      </c>
      <c r="AU30" s="196">
        <f>IFERROR(('B3'!T73/(VLOOKUP(D5,Currency!$A$2:$D$33,3,FALSE))*100),0)</f>
        <v>0</v>
      </c>
      <c r="AV30" s="196">
        <f>IFERROR(('B3'!U73/(VLOOKUP(D5,Currency!$A$2:$D$33,3,FALSE))*100),0)</f>
        <v>0</v>
      </c>
      <c r="AW30" s="196">
        <f>IFERROR(('B3'!V73/(VLOOKUP(D5,Currency!$A$2:$D$33,3,FALSE))*100),0)</f>
        <v>0</v>
      </c>
      <c r="AX30" s="196">
        <f>IFERROR(('B3'!W73/(VLOOKUP(D5,Currency!$A$2:$D$33,3,FALSE))*100),0)</f>
        <v>0</v>
      </c>
      <c r="AY30" s="196">
        <f>IFERROR(('B3'!X73/(VLOOKUP(D5,Currency!$A$2:$D$33,3,FALSE))*100),0)</f>
        <v>0</v>
      </c>
      <c r="AZ30" s="197">
        <f>IFERROR(('B3'!Y73/(VLOOKUP(D5,Currency!$A$2:$D$33,3,FALSE))*100),0)</f>
        <v>0</v>
      </c>
      <c r="BA30" s="196">
        <f>IFERROR(('B3'!Z73/(VLOOKUP(D5,Currency!$A$2:$D$33,3,FALSE))*100),0)</f>
        <v>0</v>
      </c>
      <c r="BB30" s="196">
        <f>IFERROR(('B3'!AA73/(VLOOKUP(D5,Currency!$A$2:$D$33,3,FALSE))*100),0)</f>
        <v>0</v>
      </c>
      <c r="BC30" s="196">
        <f>IFERROR(('B3'!AB73/(VLOOKUP(D5,Currency!$A$2:$D$33,3,FALSE))*100),0)</f>
        <v>0</v>
      </c>
      <c r="BD30" s="181">
        <f t="shared" si="68"/>
        <v>0</v>
      </c>
      <c r="BF30" s="190" t="s">
        <v>77</v>
      </c>
      <c r="BG30" s="151"/>
      <c r="BH30" s="146">
        <f>IFERROR(('B4'!S73/(VLOOKUP(D5,Currency!$A$2:$D$33,3,FALSE))*100),0)</f>
        <v>0</v>
      </c>
      <c r="BI30" s="196">
        <f>IFERROR(('B4'!T73/(VLOOKUP(D5,Currency!$A$2:$D$33,3,FALSE))*100),0)</f>
        <v>0</v>
      </c>
      <c r="BJ30" s="196">
        <f>IFERROR(('B4'!U73/(VLOOKUP(D5,Currency!$A$2:$D$33,3,FALSE))*100),0)</f>
        <v>0</v>
      </c>
      <c r="BK30" s="196">
        <f>IFERROR(('B4'!V73/(VLOOKUP(D5,Currency!$A$2:$D$33,3,FALSE))*100),0)</f>
        <v>0</v>
      </c>
      <c r="BL30" s="196">
        <f>IFERROR(('B4'!W73/(VLOOKUP(D5,Currency!$A$2:$D$33,3,FALSE))*100),0)</f>
        <v>0</v>
      </c>
      <c r="BM30" s="196">
        <f>IFERROR(('B4'!X73/(VLOOKUP(D5,Currency!$A$2:$D$33,3,FALSE))*100),0)</f>
        <v>0</v>
      </c>
      <c r="BN30" s="197">
        <f>IFERROR(('B4'!Y73/(VLOOKUP(D5,Currency!$A$2:$D$33,3,FALSE))*100),0)</f>
        <v>0</v>
      </c>
      <c r="BO30" s="196">
        <f>IFERROR(('B4'!Z73/(VLOOKUP(D5,Currency!$A$2:$D$33,3,FALSE))*100),0)</f>
        <v>0</v>
      </c>
      <c r="BP30" s="196">
        <f>IFERROR(('B4'!AA73/(VLOOKUP(D5,Currency!$A$2:$D$33,3,FALSE))*100),0)</f>
        <v>0</v>
      </c>
      <c r="BQ30" s="196">
        <f>IFERROR(('B4'!AB73/(VLOOKUP(D5,Currency!$A$2:$D$33,3,FALSE))*100),0)</f>
        <v>0</v>
      </c>
      <c r="BR30" s="181">
        <f t="shared" si="69"/>
        <v>0</v>
      </c>
      <c r="BT30" s="190" t="s">
        <v>77</v>
      </c>
      <c r="BU30" s="151"/>
      <c r="BV30" s="146">
        <f>IFERROR(('B5'!S73/(VLOOKUP(D5,Currency!$A$2:$D$33,3,FALSE))*100),0)</f>
        <v>0</v>
      </c>
      <c r="BW30" s="196">
        <f>IFERROR(('B5'!T73/(VLOOKUP(D5,Currency!$A$2:$D$33,3,FALSE))*100),0)</f>
        <v>0</v>
      </c>
      <c r="BX30" s="196">
        <f>IFERROR(('B5'!U73/(VLOOKUP(D5,Currency!$A$2:$D$33,3,FALSE))*100),0)</f>
        <v>0</v>
      </c>
      <c r="BY30" s="196">
        <f>IFERROR(('B5'!V73/(VLOOKUP(D5,Currency!$A$2:$D$33,3,FALSE))*100),0)</f>
        <v>0</v>
      </c>
      <c r="BZ30" s="196">
        <f>IFERROR(('B5'!W73/(VLOOKUP(D5,Currency!$A$2:$D$33,3,FALSE))*100),0)</f>
        <v>0</v>
      </c>
      <c r="CA30" s="196">
        <f>IFERROR(('B5'!X73/(VLOOKUP(D5,Currency!$A$2:$D$33,3,FALSE))*100),0)</f>
        <v>0</v>
      </c>
      <c r="CB30" s="197">
        <f>IFERROR(('B5'!Y73/(VLOOKUP(D5,Currency!$A$2:$D$33,3,FALSE))*100),0)</f>
        <v>0</v>
      </c>
      <c r="CC30" s="196">
        <f>IFERROR(('B5'!Z73/(VLOOKUP(D5,Currency!$A$2:$D$33,3,FALSE))*100),0)</f>
        <v>0</v>
      </c>
      <c r="CD30" s="196">
        <f>IFERROR(('B5'!AA73/(VLOOKUP(D5,Currency!$A$2:$D$33,3,FALSE))*100),0)</f>
        <v>0</v>
      </c>
      <c r="CE30" s="196">
        <f>IFERROR(('B5'!AB73/(VLOOKUP(D5,Currency!$A$2:$D$33,3,FALSE))*100),0)</f>
        <v>0</v>
      </c>
      <c r="CF30" s="181">
        <f t="shared" si="70"/>
        <v>0</v>
      </c>
    </row>
    <row r="31" spans="2:84" x14ac:dyDescent="0.2">
      <c r="B31" s="190" t="s">
        <v>78</v>
      </c>
      <c r="C31" s="151"/>
      <c r="D31" s="146">
        <f>IFERROR((Total!D24/(VLOOKUP(D5,Currency!$A$2:$D$33,3,FALSE))*100),0)</f>
        <v>0</v>
      </c>
      <c r="E31" s="196">
        <f>IFERROR((Total!E24/(VLOOKUP(D5,Currency!$A$2:$D$33,3,FALSE))*100),0)</f>
        <v>144227.93427859229</v>
      </c>
      <c r="F31" s="196">
        <f>IFERROR((Total!F24/(VLOOKUP(D5,Currency!$A$2:$D$33,3,FALSE))*100),0)</f>
        <v>150727.70645152646</v>
      </c>
      <c r="G31" s="196">
        <f>IFERROR((Total!G24/(VLOOKUP(D5,Currency!$A$2:$D$33,3,FALSE))*100),0)</f>
        <v>152108.07043876813</v>
      </c>
      <c r="H31" s="196">
        <f>IFERROR((Total!H24/(VLOOKUP(D5,Currency!$A$2:$D$33,3,FALSE))*100),0)</f>
        <v>78466.321799029727</v>
      </c>
      <c r="I31" s="196">
        <f>IFERROR((Total!I24/(VLOOKUP(D5,Currency!$A$2:$D$33,3,FALSE))*100),0)</f>
        <v>0</v>
      </c>
      <c r="J31" s="197">
        <f>IFERROR((Total!J24/(VLOOKUP(D5,Currency!$A$2:$D$33,3,FALSE))*100),0)</f>
        <v>0</v>
      </c>
      <c r="K31" s="196">
        <f>IFERROR((Total!K24/(VLOOKUP(D5,Currency!$A$2:$D$33,3,FALSE))*100),0)</f>
        <v>0</v>
      </c>
      <c r="L31" s="196">
        <f>IFERROR((Total!L24/(VLOOKUP(D5,Currency!$A$2:$D$33,3,FALSE))*100),0)</f>
        <v>0</v>
      </c>
      <c r="M31" s="196">
        <f>IFERROR((Total!M24/(VLOOKUP(D5,Currency!$A$2:$D$33,3,FALSE))*100),0)</f>
        <v>0</v>
      </c>
      <c r="N31" s="181">
        <f t="shared" si="65"/>
        <v>525530.03296791657</v>
      </c>
      <c r="P31" s="190" t="s">
        <v>78</v>
      </c>
      <c r="Q31" s="151"/>
      <c r="R31" s="146">
        <f>IFERROR(('B1'!S74/(VLOOKUP(D5,Currency!$A$2:$D$33,3,FALSE))*100),0)</f>
        <v>0</v>
      </c>
      <c r="S31" s="196">
        <f>IFERROR(('B1'!T74/(VLOOKUP(D5,Currency!$A$2:$D$33,3,FALSE))*100),0)</f>
        <v>144227.93427859229</v>
      </c>
      <c r="T31" s="196">
        <f>IFERROR(('B1'!U74/(VLOOKUP(D5,Currency!$A$2:$D$33,3,FALSE))*100),0)</f>
        <v>150727.70645152646</v>
      </c>
      <c r="U31" s="196">
        <f>IFERROR(('B1'!V74/(VLOOKUP(D5,Currency!$A$2:$D$33,3,FALSE))*100),0)</f>
        <v>152108.07043876813</v>
      </c>
      <c r="V31" s="196">
        <f>IFERROR(('B1'!W74/(VLOOKUP(D5,Currency!$A$2:$D$33,3,FALSE))*100),0)</f>
        <v>78466.321799029727</v>
      </c>
      <c r="W31" s="196">
        <f>IFERROR(('B1'!X74/(VLOOKUP(D5,Currency!$A$2:$D$33,3,FALSE))*100),0)</f>
        <v>0</v>
      </c>
      <c r="X31" s="197">
        <f>IFERROR(('B1'!Y74/(VLOOKUP(D5,Currency!$A$2:$D$33,3,FALSE))*100),0)</f>
        <v>0</v>
      </c>
      <c r="Y31" s="196">
        <f>IFERROR(('B1'!Z74/(VLOOKUP(D5,Currency!$A$2:$D$33,3,FALSE))*100),0)</f>
        <v>0</v>
      </c>
      <c r="Z31" s="196">
        <f>IFERROR(('B1'!AA74/(VLOOKUP(D5,Currency!$A$2:$D$33,3,FALSE))*100),0)</f>
        <v>0</v>
      </c>
      <c r="AA31" s="196">
        <f>IFERROR(('B1'!AB74/(VLOOKUP(D5,Currency!$A$2:$D$33,3,FALSE))*100),0)</f>
        <v>0</v>
      </c>
      <c r="AB31" s="181">
        <f t="shared" si="66"/>
        <v>525530.03296791657</v>
      </c>
      <c r="AD31" s="190" t="s">
        <v>78</v>
      </c>
      <c r="AE31" s="151"/>
      <c r="AF31" s="146">
        <f>IFERROR(('B2'!S74/(VLOOKUP(D5,Currency!$A$2:$D$33,3,FALSE))*100),0)</f>
        <v>0</v>
      </c>
      <c r="AG31" s="196">
        <f>IFERROR(('B2'!T74/(VLOOKUP(D5,Currency!$A$2:$D$33,3,FALSE))*100),0)</f>
        <v>0</v>
      </c>
      <c r="AH31" s="196">
        <f>IFERROR(('B2'!U74/(VLOOKUP(D5,Currency!$A$2:$D$33,3,FALSE))*100),0)</f>
        <v>0</v>
      </c>
      <c r="AI31" s="196">
        <f>IFERROR(('B2'!V74/(VLOOKUP(D5,Currency!$A$2:$D$33,3,FALSE))*100),0)</f>
        <v>0</v>
      </c>
      <c r="AJ31" s="196">
        <f>IFERROR(('B2'!W74/(VLOOKUP(D5,Currency!$A$2:$D$33,3,FALSE))*100),0)</f>
        <v>0</v>
      </c>
      <c r="AK31" s="196">
        <f>IFERROR(('B2'!X74/(VLOOKUP(D5,Currency!$A$2:$D$33,3,FALSE))*100),0)</f>
        <v>0</v>
      </c>
      <c r="AL31" s="197">
        <f>IFERROR(('B2'!Y74/(VLOOKUP(D5,Currency!$A$2:$D$33,3,FALSE))*100),0)</f>
        <v>0</v>
      </c>
      <c r="AM31" s="196">
        <f>IFERROR(('B2'!Z74/(VLOOKUP(D5,Currency!$A$2:$D$33,3,FALSE))*100),0)</f>
        <v>0</v>
      </c>
      <c r="AN31" s="196">
        <f>IFERROR(('B2'!AA74/(VLOOKUP(D5,Currency!$A$2:$D$33,3,FALSE))*100),0)</f>
        <v>0</v>
      </c>
      <c r="AO31" s="196">
        <f>IFERROR(('B2'!AB74/(VLOOKUP(D5,Currency!$A$2:$D$33,3,FALSE))*100),0)</f>
        <v>0</v>
      </c>
      <c r="AP31" s="181">
        <f t="shared" si="67"/>
        <v>0</v>
      </c>
      <c r="AR31" s="190" t="s">
        <v>78</v>
      </c>
      <c r="AS31" s="151"/>
      <c r="AT31" s="146">
        <f>IFERROR(('B3'!S74/(VLOOKUP(D5,Currency!$A$2:$D$33,3,FALSE))*100),0)</f>
        <v>0</v>
      </c>
      <c r="AU31" s="196">
        <f>IFERROR(('B3'!T74/(VLOOKUP(D5,Currency!$A$2:$D$33,3,FALSE))*100),0)</f>
        <v>0</v>
      </c>
      <c r="AV31" s="196">
        <f>IFERROR(('B3'!U74/(VLOOKUP(D5,Currency!$A$2:$D$33,3,FALSE))*100),0)</f>
        <v>0</v>
      </c>
      <c r="AW31" s="196">
        <f>IFERROR(('B3'!V74/(VLOOKUP(D5,Currency!$A$2:$D$33,3,FALSE))*100),0)</f>
        <v>0</v>
      </c>
      <c r="AX31" s="196">
        <f>IFERROR(('B3'!W74/(VLOOKUP(D5,Currency!$A$2:$D$33,3,FALSE))*100),0)</f>
        <v>0</v>
      </c>
      <c r="AY31" s="196">
        <f>IFERROR(('B3'!X74/(VLOOKUP(D5,Currency!$A$2:$D$33,3,FALSE))*100),0)</f>
        <v>0</v>
      </c>
      <c r="AZ31" s="197">
        <f>IFERROR(('B3'!Y74/(VLOOKUP(D5,Currency!$A$2:$D$33,3,FALSE))*100),0)</f>
        <v>0</v>
      </c>
      <c r="BA31" s="196">
        <f>IFERROR(('B3'!Z74/(VLOOKUP(D5,Currency!$A$2:$D$33,3,FALSE))*100),0)</f>
        <v>0</v>
      </c>
      <c r="BB31" s="196">
        <f>IFERROR(('B3'!AA74/(VLOOKUP(D5,Currency!$A$2:$D$33,3,FALSE))*100),0)</f>
        <v>0</v>
      </c>
      <c r="BC31" s="196">
        <f>IFERROR(('B3'!AB74/(VLOOKUP(D5,Currency!$A$2:$D$33,3,FALSE))*100),0)</f>
        <v>0</v>
      </c>
      <c r="BD31" s="181">
        <f t="shared" si="68"/>
        <v>0</v>
      </c>
      <c r="BF31" s="190" t="s">
        <v>78</v>
      </c>
      <c r="BG31" s="151"/>
      <c r="BH31" s="146">
        <f>IFERROR(('B4'!S74/(VLOOKUP(D5,Currency!$A$2:$D$33,3,FALSE))*100),0)</f>
        <v>0</v>
      </c>
      <c r="BI31" s="196">
        <f>IFERROR(('B4'!T74/(VLOOKUP(D5,Currency!$A$2:$D$33,3,FALSE))*100),0)</f>
        <v>0</v>
      </c>
      <c r="BJ31" s="196">
        <f>IFERROR(('B4'!U74/(VLOOKUP(D5,Currency!$A$2:$D$33,3,FALSE))*100),0)</f>
        <v>0</v>
      </c>
      <c r="BK31" s="196">
        <f>IFERROR(('B4'!V74/(VLOOKUP(D5,Currency!$A$2:$D$33,3,FALSE))*100),0)</f>
        <v>0</v>
      </c>
      <c r="BL31" s="196">
        <f>IFERROR(('B4'!W74/(VLOOKUP(D5,Currency!$A$2:$D$33,3,FALSE))*100),0)</f>
        <v>0</v>
      </c>
      <c r="BM31" s="196">
        <f>IFERROR(('B4'!X74/(VLOOKUP(D5,Currency!$A$2:$D$33,3,FALSE))*100),0)</f>
        <v>0</v>
      </c>
      <c r="BN31" s="197">
        <f>IFERROR(('B4'!Y74/(VLOOKUP(D5,Currency!$A$2:$D$33,3,FALSE))*100),0)</f>
        <v>0</v>
      </c>
      <c r="BO31" s="196">
        <f>IFERROR(('B4'!Z74/(VLOOKUP(D5,Currency!$A$2:$D$33,3,FALSE))*100),0)</f>
        <v>0</v>
      </c>
      <c r="BP31" s="196">
        <f>IFERROR(('B4'!AA74/(VLOOKUP(D5,Currency!$A$2:$D$33,3,FALSE))*100),0)</f>
        <v>0</v>
      </c>
      <c r="BQ31" s="196">
        <f>IFERROR(('B4'!AB74/(VLOOKUP(D5,Currency!$A$2:$D$33,3,FALSE))*100),0)</f>
        <v>0</v>
      </c>
      <c r="BR31" s="181">
        <f t="shared" si="69"/>
        <v>0</v>
      </c>
      <c r="BT31" s="190" t="s">
        <v>78</v>
      </c>
      <c r="BU31" s="151"/>
      <c r="BV31" s="146">
        <f>IFERROR(('B5'!S74/(VLOOKUP(D5,Currency!$A$2:$D$33,3,FALSE))*100),0)</f>
        <v>0</v>
      </c>
      <c r="BW31" s="196">
        <f>IFERROR(('B5'!T74/(VLOOKUP(D5,Currency!$A$2:$D$33,3,FALSE))*100),0)</f>
        <v>0</v>
      </c>
      <c r="BX31" s="196">
        <f>IFERROR(('B5'!U74/(VLOOKUP(D5,Currency!$A$2:$D$33,3,FALSE))*100),0)</f>
        <v>0</v>
      </c>
      <c r="BY31" s="196">
        <f>IFERROR(('B5'!V74/(VLOOKUP(D5,Currency!$A$2:$D$33,3,FALSE))*100),0)</f>
        <v>0</v>
      </c>
      <c r="BZ31" s="196">
        <f>IFERROR(('B5'!W74/(VLOOKUP(D5,Currency!$A$2:$D$33,3,FALSE))*100),0)</f>
        <v>0</v>
      </c>
      <c r="CA31" s="196">
        <f>IFERROR(('B5'!X74/(VLOOKUP(D5,Currency!$A$2:$D$33,3,FALSE))*100),0)</f>
        <v>0</v>
      </c>
      <c r="CB31" s="197">
        <f>IFERROR(('B5'!Y74/(VLOOKUP(D5,Currency!$A$2:$D$33,3,FALSE))*100),0)</f>
        <v>0</v>
      </c>
      <c r="CC31" s="196">
        <f>IFERROR(('B5'!Z74/(VLOOKUP(D5,Currency!$A$2:$D$33,3,FALSE))*100),0)</f>
        <v>0</v>
      </c>
      <c r="CD31" s="196">
        <f>IFERROR(('B5'!AA74/(VLOOKUP(D5,Currency!$A$2:$D$33,3,FALSE))*100),0)</f>
        <v>0</v>
      </c>
      <c r="CE31" s="196">
        <f>IFERROR(('B5'!AB74/(VLOOKUP(D5,Currency!$A$2:$D$33,3,FALSE))*100),0)</f>
        <v>0</v>
      </c>
      <c r="CF31" s="181">
        <f t="shared" si="70"/>
        <v>0</v>
      </c>
    </row>
    <row r="32" spans="2:84" x14ac:dyDescent="0.2">
      <c r="B32" s="191" t="s">
        <v>0</v>
      </c>
      <c r="C32" s="119"/>
      <c r="D32" s="21">
        <f>IFERROR((Total!D25/(VLOOKUP(D5,Currency!$A$2:$D$33,3,FALSE))*100),0)</f>
        <v>0</v>
      </c>
      <c r="E32" s="198">
        <f>IFERROR((Total!E25/(VLOOKUP(D5,Currency!$A$2:$D$33,3,FALSE))*100),0)</f>
        <v>36056.983569648073</v>
      </c>
      <c r="F32" s="198">
        <f>IFERROR((Total!F25/(VLOOKUP(D5,Currency!$A$2:$D$33,3,FALSE))*100),0)</f>
        <v>37681.926612881616</v>
      </c>
      <c r="G32" s="198">
        <f>IFERROR((Total!G25/(VLOOKUP(D5,Currency!$A$2:$D$33,3,FALSE))*100),0)</f>
        <v>38027.017609692033</v>
      </c>
      <c r="H32" s="198">
        <f>IFERROR((Total!H25/(VLOOKUP(D5,Currency!$A$2:$D$33,3,FALSE))*100),0)</f>
        <v>19616.580449757432</v>
      </c>
      <c r="I32" s="198">
        <f>IFERROR((Total!I25/(VLOOKUP(D5,Currency!$A$2:$D$33,3,FALSE))*100),0)</f>
        <v>0</v>
      </c>
      <c r="J32" s="199">
        <f>IFERROR((Total!J25/(VLOOKUP(D5,Currency!$A$2:$D$33,3,FALSE))*100),0)</f>
        <v>0</v>
      </c>
      <c r="K32" s="198">
        <f>IFERROR((Total!K25/(VLOOKUP(D5,Currency!$A$2:$D$33,3,FALSE))*100),0)</f>
        <v>0</v>
      </c>
      <c r="L32" s="198">
        <f>IFERROR((Total!L25/(VLOOKUP(D5,Currency!$A$2:$D$33,3,FALSE))*100),0)</f>
        <v>0</v>
      </c>
      <c r="M32" s="198">
        <f>IFERROR((Total!M25/(VLOOKUP(D5,Currency!$A$2:$D$33,3,FALSE))*100),0)</f>
        <v>0</v>
      </c>
      <c r="N32" s="181">
        <f t="shared" si="65"/>
        <v>131382.50824197914</v>
      </c>
      <c r="P32" s="191" t="s">
        <v>0</v>
      </c>
      <c r="Q32" s="119"/>
      <c r="R32" s="21">
        <f>IFERROR(('B1'!S75/(VLOOKUP(D5,Currency!$A$2:$D$33,3,FALSE))*100),0)</f>
        <v>0</v>
      </c>
      <c r="S32" s="198">
        <f>IFERROR(('B1'!T75/(VLOOKUP(D5,Currency!$A$2:$D$33,3,FALSE))*100),0)</f>
        <v>36056.983569648073</v>
      </c>
      <c r="T32" s="198">
        <f>IFERROR(('B1'!U75/(VLOOKUP(D5,Currency!$A$2:$D$33,3,FALSE))*100),0)</f>
        <v>37681.926612881616</v>
      </c>
      <c r="U32" s="198">
        <f>IFERROR(('B1'!V75/(VLOOKUP(D5,Currency!$A$2:$D$33,3,FALSE))*100),0)</f>
        <v>38027.017609692033</v>
      </c>
      <c r="V32" s="198">
        <f>IFERROR(('B1'!W75/(VLOOKUP(D5,Currency!$A$2:$D$33,3,FALSE))*100),0)</f>
        <v>19616.580449757432</v>
      </c>
      <c r="W32" s="198">
        <f>IFERROR(('B1'!X75/(VLOOKUP(D5,Currency!$A$2:$D$33,3,FALSE))*100),0)</f>
        <v>0</v>
      </c>
      <c r="X32" s="199">
        <f>IFERROR(('B1'!Y75/(VLOOKUP(D5,Currency!$A$2:$D$33,3,FALSE))*100),0)</f>
        <v>0</v>
      </c>
      <c r="Y32" s="198">
        <f>IFERROR(('B1'!Z75/(VLOOKUP(D5,Currency!$A$2:$D$33,3,FALSE))*100),0)</f>
        <v>0</v>
      </c>
      <c r="Z32" s="198">
        <f>IFERROR(('B1'!AA75/(VLOOKUP(D5,Currency!$A$2:$D$33,3,FALSE))*100),0)</f>
        <v>0</v>
      </c>
      <c r="AA32" s="198">
        <f>IFERROR(('B1'!AB75/(VLOOKUP(D5,Currency!$A$2:$D$33,3,FALSE))*100),0)</f>
        <v>0</v>
      </c>
      <c r="AB32" s="181">
        <f t="shared" si="66"/>
        <v>131382.50824197914</v>
      </c>
      <c r="AD32" s="191" t="s">
        <v>0</v>
      </c>
      <c r="AE32" s="119"/>
      <c r="AF32" s="21">
        <f>IFERROR(('B2'!S75/(VLOOKUP(D5,Currency!$A$2:$D$33,3,FALSE))*100),0)</f>
        <v>0</v>
      </c>
      <c r="AG32" s="198">
        <f>IFERROR(('B2'!T75/(VLOOKUP(D5,Currency!$A$2:$D$33,3,FALSE))*100),0)</f>
        <v>0</v>
      </c>
      <c r="AH32" s="198">
        <f>IFERROR(('B2'!U75/(VLOOKUP(D5,Currency!$A$2:$D$33,3,FALSE))*100),0)</f>
        <v>0</v>
      </c>
      <c r="AI32" s="198">
        <f>IFERROR(('B2'!V75/(VLOOKUP(D5,Currency!$A$2:$D$33,3,FALSE))*100),0)</f>
        <v>0</v>
      </c>
      <c r="AJ32" s="198">
        <f>IFERROR(('B2'!W75/(VLOOKUP(D5,Currency!$A$2:$D$33,3,FALSE))*100),0)</f>
        <v>0</v>
      </c>
      <c r="AK32" s="198">
        <f>IFERROR(('B2'!X75/(VLOOKUP(D5,Currency!$A$2:$D$33,3,FALSE))*100),0)</f>
        <v>0</v>
      </c>
      <c r="AL32" s="199">
        <f>IFERROR(('B2'!Y75/(VLOOKUP(D5,Currency!$A$2:$D$33,3,FALSE))*100),0)</f>
        <v>0</v>
      </c>
      <c r="AM32" s="198">
        <f>IFERROR(('B2'!Z75/(VLOOKUP(D5,Currency!$A$2:$D$33,3,FALSE))*100),0)</f>
        <v>0</v>
      </c>
      <c r="AN32" s="198">
        <f>IFERROR(('B2'!AA75/(VLOOKUP(D5,Currency!$A$2:$D$33,3,FALSE))*100),0)</f>
        <v>0</v>
      </c>
      <c r="AO32" s="198">
        <f>IFERROR(('B2'!AB75/(VLOOKUP(D5,Currency!$A$2:$D$33,3,FALSE))*100),0)</f>
        <v>0</v>
      </c>
      <c r="AP32" s="181">
        <f t="shared" si="67"/>
        <v>0</v>
      </c>
      <c r="AR32" s="191" t="s">
        <v>0</v>
      </c>
      <c r="AS32" s="119"/>
      <c r="AT32" s="21">
        <f>IFERROR(('B3'!S75/(VLOOKUP(D5,Currency!$A$2:$D$33,3,FALSE))*100),0)</f>
        <v>0</v>
      </c>
      <c r="AU32" s="198">
        <f>IFERROR(('B3'!T75/(VLOOKUP(D5,Currency!$A$2:$D$33,3,FALSE))*100),0)</f>
        <v>0</v>
      </c>
      <c r="AV32" s="198">
        <f>IFERROR(('B3'!U75/(VLOOKUP(D5,Currency!$A$2:$D$33,3,FALSE))*100),0)</f>
        <v>0</v>
      </c>
      <c r="AW32" s="198">
        <f>IFERROR(('B3'!V75/(VLOOKUP(D5,Currency!$A$2:$D$33,3,FALSE))*100),0)</f>
        <v>0</v>
      </c>
      <c r="AX32" s="198">
        <f>IFERROR(('B3'!W75/(VLOOKUP(D5,Currency!$A$2:$D$33,3,FALSE))*100),0)</f>
        <v>0</v>
      </c>
      <c r="AY32" s="198">
        <f>IFERROR(('B3'!X75/(VLOOKUP(D5,Currency!$A$2:$D$33,3,FALSE))*100),0)</f>
        <v>0</v>
      </c>
      <c r="AZ32" s="199">
        <f>IFERROR(('B3'!Y75/(VLOOKUP(D5,Currency!$A$2:$D$33,3,FALSE))*100),0)</f>
        <v>0</v>
      </c>
      <c r="BA32" s="198">
        <f>IFERROR(('B3'!Z75/(VLOOKUP(D5,Currency!$A$2:$D$33,3,FALSE))*100),0)</f>
        <v>0</v>
      </c>
      <c r="BB32" s="198">
        <f>IFERROR(('B3'!AA75/(VLOOKUP(D5,Currency!$A$2:$D$33,3,FALSE))*100),0)</f>
        <v>0</v>
      </c>
      <c r="BC32" s="198">
        <f>IFERROR(('B3'!AB75/(VLOOKUP(D5,Currency!$A$2:$D$33,3,FALSE))*100),0)</f>
        <v>0</v>
      </c>
      <c r="BD32" s="181">
        <f t="shared" si="68"/>
        <v>0</v>
      </c>
      <c r="BF32" s="191" t="s">
        <v>0</v>
      </c>
      <c r="BG32" s="119"/>
      <c r="BH32" s="21">
        <f>IFERROR(('B4'!S75/(VLOOKUP(D5,Currency!$A$2:$D$33,3,FALSE))*100),0)</f>
        <v>0</v>
      </c>
      <c r="BI32" s="198">
        <f>IFERROR(('B4'!T75/(VLOOKUP(D5,Currency!$A$2:$D$33,3,FALSE))*100),0)</f>
        <v>0</v>
      </c>
      <c r="BJ32" s="198">
        <f>IFERROR(('B4'!U75/(VLOOKUP(D5,Currency!$A$2:$D$33,3,FALSE))*100),0)</f>
        <v>0</v>
      </c>
      <c r="BK32" s="198">
        <f>IFERROR(('B4'!V75/(VLOOKUP(D5,Currency!$A$2:$D$33,3,FALSE))*100),0)</f>
        <v>0</v>
      </c>
      <c r="BL32" s="198">
        <f>IFERROR(('B4'!W75/(VLOOKUP(D5,Currency!$A$2:$D$33,3,FALSE))*100),0)</f>
        <v>0</v>
      </c>
      <c r="BM32" s="198">
        <f>IFERROR(('B4'!X75/(VLOOKUP(D5,Currency!$A$2:$D$33,3,FALSE))*100),0)</f>
        <v>0</v>
      </c>
      <c r="BN32" s="199">
        <f>IFERROR(('B4'!Y75/(VLOOKUP(D5,Currency!$A$2:$D$33,3,FALSE))*100),0)</f>
        <v>0</v>
      </c>
      <c r="BO32" s="198">
        <f>IFERROR(('B4'!Z75/(VLOOKUP(D5,Currency!$A$2:$D$33,3,FALSE))*100),0)</f>
        <v>0</v>
      </c>
      <c r="BP32" s="198">
        <f>IFERROR(('B4'!AA75/(VLOOKUP(D5,Currency!$A$2:$D$33,3,FALSE))*100),0)</f>
        <v>0</v>
      </c>
      <c r="BQ32" s="198">
        <f>IFERROR(('B4'!AB75/(VLOOKUP(D5,Currency!$A$2:$D$33,3,FALSE))*100),0)</f>
        <v>0</v>
      </c>
      <c r="BR32" s="181">
        <f t="shared" si="69"/>
        <v>0</v>
      </c>
      <c r="BT32" s="191" t="s">
        <v>0</v>
      </c>
      <c r="BU32" s="119"/>
      <c r="BV32" s="21">
        <f>IFERROR(('B5'!S75/(VLOOKUP(D5,Currency!$A$2:$D$33,3,FALSE))*100),0)</f>
        <v>0</v>
      </c>
      <c r="BW32" s="198">
        <f>IFERROR(('B5'!T75/(VLOOKUP(D5,Currency!$A$2:$D$33,3,FALSE))*100),0)</f>
        <v>0</v>
      </c>
      <c r="BX32" s="198">
        <f>IFERROR(('B5'!U75/(VLOOKUP(D5,Currency!$A$2:$D$33,3,FALSE))*100),0)</f>
        <v>0</v>
      </c>
      <c r="BY32" s="198">
        <f>IFERROR(('B5'!V75/(VLOOKUP(D5,Currency!$A$2:$D$33,3,FALSE))*100),0)</f>
        <v>0</v>
      </c>
      <c r="BZ32" s="198">
        <f>IFERROR(('B5'!W75/(VLOOKUP(D5,Currency!$A$2:$D$33,3,FALSE))*100),0)</f>
        <v>0</v>
      </c>
      <c r="CA32" s="198">
        <f>IFERROR(('B5'!X75/(VLOOKUP(D5,Currency!$A$2:$D$33,3,FALSE))*100),0)</f>
        <v>0</v>
      </c>
      <c r="CB32" s="199">
        <f>IFERROR(('B5'!Y75/(VLOOKUP(D5,Currency!$A$2:$D$33,3,FALSE))*100),0)</f>
        <v>0</v>
      </c>
      <c r="CC32" s="198">
        <f>IFERROR(('B5'!Z75/(VLOOKUP(D5,Currency!$A$2:$D$33,3,FALSE))*100),0)</f>
        <v>0</v>
      </c>
      <c r="CD32" s="198">
        <f>IFERROR(('B5'!AA75/(VLOOKUP(D5,Currency!$A$2:$D$33,3,FALSE))*100),0)</f>
        <v>0</v>
      </c>
      <c r="CE32" s="198">
        <f>IFERROR(('B5'!AB75/(VLOOKUP(D5,Currency!$A$2:$D$33,3,FALSE))*100),0)</f>
        <v>0</v>
      </c>
      <c r="CF32" s="181">
        <f t="shared" si="70"/>
        <v>0</v>
      </c>
    </row>
    <row r="33" spans="2:84" x14ac:dyDescent="0.2">
      <c r="B33" s="192" t="s">
        <v>103</v>
      </c>
      <c r="C33" s="119"/>
      <c r="D33" s="21">
        <f>IFERROR((Total!D26/(VLOOKUP(D5,Currency!$A$2:$D$33,3,FALSE))*100),0)</f>
        <v>0</v>
      </c>
      <c r="E33" s="21">
        <f>IFERROR((Total!E26/(VLOOKUP(D5,Currency!$A$2:$D$33,3,FALSE))*100),0)</f>
        <v>0</v>
      </c>
      <c r="F33" s="21">
        <f>IFERROR((Total!F26/(VLOOKUP(D5,Currency!$A$2:$D$33,3,FALSE))*100),0)</f>
        <v>0</v>
      </c>
      <c r="G33" s="21">
        <f>IFERROR((Total!G26/(VLOOKUP(D5,Currency!$A$2:$D$33,3,FALSE))*100),0)</f>
        <v>0</v>
      </c>
      <c r="H33" s="21">
        <f>IFERROR((Total!H26/(VLOOKUP(D5,Currency!$A$2:$D$33,3,FALSE))*100),0)</f>
        <v>0</v>
      </c>
      <c r="I33" s="21">
        <f>IFERROR((Total!I26/(VLOOKUP(D5,Currency!$A$2:$D$33,3,FALSE))*100),0)</f>
        <v>0</v>
      </c>
      <c r="J33" s="119">
        <f>IFERROR((Total!J26/(VLOOKUP(D5,Currency!$A$2:$D$33,3,FALSE))*100),0)</f>
        <v>0</v>
      </c>
      <c r="K33" s="21">
        <f>IFERROR((Total!K26/(VLOOKUP(D5,Currency!$A$2:$D$33,3,FALSE))*100),0)</f>
        <v>0</v>
      </c>
      <c r="L33" s="21">
        <f>IFERROR((Total!L26/(VLOOKUP(D5,Currency!$A$2:$D$33,3,FALSE))*100),0)</f>
        <v>0</v>
      </c>
      <c r="M33" s="21">
        <f>IFERROR((Total!M26/(VLOOKUP(D5,Currency!$A$2:$D$33,3,FALSE))*100),0)</f>
        <v>0</v>
      </c>
      <c r="N33" s="181">
        <f t="shared" si="65"/>
        <v>0</v>
      </c>
      <c r="P33" s="192" t="s">
        <v>96</v>
      </c>
      <c r="Q33" s="119"/>
      <c r="R33" s="21">
        <f>IFERROR(('B1'!S76/(VLOOKUP(D5,Currency!$A$2:$D$33,3,FALSE))*100),0)</f>
        <v>0</v>
      </c>
      <c r="S33" s="21">
        <f>IFERROR(('B1'!T76/(VLOOKUP(D5,Currency!$A$2:$D$33,3,FALSE))*100),0)</f>
        <v>0</v>
      </c>
      <c r="T33" s="21">
        <f>IFERROR(('B1'!U76/(VLOOKUP(D5,Currency!$A$2:$D$33,3,FALSE))*100),0)</f>
        <v>0</v>
      </c>
      <c r="U33" s="21">
        <f>IFERROR(('B1'!V76/(VLOOKUP(D5,Currency!$A$2:$D$33,3,FALSE))*100),0)</f>
        <v>0</v>
      </c>
      <c r="V33" s="21">
        <f>IFERROR(('B1'!W76/(VLOOKUP(D5,Currency!$A$2:$D$33,3,FALSE))*100),0)</f>
        <v>0</v>
      </c>
      <c r="W33" s="21">
        <f>IFERROR(('B1'!X76/(VLOOKUP(D5,Currency!$A$2:$D$33,3,FALSE))*100),0)</f>
        <v>0</v>
      </c>
      <c r="X33" s="119">
        <f>IFERROR(('B1'!Y76/(VLOOKUP(D5,Currency!$A$2:$D$33,3,FALSE))*100),0)</f>
        <v>0</v>
      </c>
      <c r="Y33" s="21">
        <f>IFERROR(('B1'!Z76/(VLOOKUP(D5,Currency!$A$2:$D$33,3,FALSE))*100),0)</f>
        <v>0</v>
      </c>
      <c r="Z33" s="21">
        <f>IFERROR(('B1'!AA76/(VLOOKUP(D5,Currency!$A$2:$D$33,3,FALSE))*100),0)</f>
        <v>0</v>
      </c>
      <c r="AA33" s="21">
        <f>IFERROR(('B1'!AB76/(VLOOKUP(D5,Currency!$A$2:$D$33,3,FALSE))*100),0)</f>
        <v>0</v>
      </c>
      <c r="AB33" s="181">
        <f t="shared" si="66"/>
        <v>0</v>
      </c>
      <c r="AD33" s="192" t="s">
        <v>96</v>
      </c>
      <c r="AE33" s="119"/>
      <c r="AF33" s="21">
        <f>IFERROR(('B2'!S76/(VLOOKUP(D5,Currency!$A$2:$D$33,3,FALSE))*100),0)</f>
        <v>0</v>
      </c>
      <c r="AG33" s="21">
        <f>IFERROR(('B2'!T76/(VLOOKUP(D5,Currency!$A$2:$D$33,3,FALSE))*100),0)</f>
        <v>0</v>
      </c>
      <c r="AH33" s="21">
        <f>IFERROR(('B2'!U76/(VLOOKUP(D5,Currency!$A$2:$D$33,3,FALSE))*100),0)</f>
        <v>0</v>
      </c>
      <c r="AI33" s="21">
        <f>IFERROR(('B2'!V76/(VLOOKUP(D5,Currency!$A$2:$D$33,3,FALSE))*100),0)</f>
        <v>0</v>
      </c>
      <c r="AJ33" s="21">
        <f>IFERROR(('B2'!W76/(VLOOKUP(D5,Currency!$A$2:$D$33,3,FALSE))*100),0)</f>
        <v>0</v>
      </c>
      <c r="AK33" s="21">
        <f>IFERROR(('B2'!X76/(VLOOKUP(D5,Currency!$A$2:$D$33,3,FALSE))*100),0)</f>
        <v>0</v>
      </c>
      <c r="AL33" s="119">
        <f>IFERROR(('B2'!Y76/(VLOOKUP(D5,Currency!$A$2:$D$33,3,FALSE))*100),0)</f>
        <v>0</v>
      </c>
      <c r="AM33" s="21">
        <f>IFERROR(('B2'!Z76/(VLOOKUP(D5,Currency!$A$2:$D$33,3,FALSE))*100),0)</f>
        <v>0</v>
      </c>
      <c r="AN33" s="21">
        <f>IFERROR(('B2'!AA76/(VLOOKUP(D5,Currency!$A$2:$D$33,3,FALSE))*100),0)</f>
        <v>0</v>
      </c>
      <c r="AO33" s="21">
        <f>IFERROR(('B2'!AB76/(VLOOKUP(D5,Currency!$A$2:$D$33,3,FALSE))*100),0)</f>
        <v>0</v>
      </c>
      <c r="AP33" s="181">
        <f t="shared" si="67"/>
        <v>0</v>
      </c>
      <c r="AR33" s="192" t="s">
        <v>96</v>
      </c>
      <c r="AS33" s="119"/>
      <c r="AT33" s="21">
        <f>IFERROR(('B3'!S76/(VLOOKUP(D5,Currency!$A$2:$D$33,3,FALSE))*100),0)</f>
        <v>0</v>
      </c>
      <c r="AU33" s="21">
        <f>IFERROR(('B3'!T76/(VLOOKUP(D5,Currency!$A$2:$D$33,3,FALSE))*100),0)</f>
        <v>0</v>
      </c>
      <c r="AV33" s="21">
        <f>IFERROR(('B3'!U76/(VLOOKUP(D5,Currency!$A$2:$D$33,3,FALSE))*100),0)</f>
        <v>0</v>
      </c>
      <c r="AW33" s="21">
        <f>IFERROR(('B3'!V76/(VLOOKUP(D5,Currency!$A$2:$D$33,3,FALSE))*100),0)</f>
        <v>0</v>
      </c>
      <c r="AX33" s="21">
        <f>IFERROR(('B3'!W76/(VLOOKUP(D5,Currency!$A$2:$D$33,3,FALSE))*100),0)</f>
        <v>0</v>
      </c>
      <c r="AY33" s="21">
        <f>IFERROR(('B3'!X76/(VLOOKUP(D5,Currency!$A$2:$D$33,3,FALSE))*100),0)</f>
        <v>0</v>
      </c>
      <c r="AZ33" s="119">
        <f>IFERROR(('B3'!Y76/(VLOOKUP(D5,Currency!$A$2:$D$33,3,FALSE))*100),0)</f>
        <v>0</v>
      </c>
      <c r="BA33" s="21">
        <f>IFERROR(('B3'!Z76/(VLOOKUP(D5,Currency!$A$2:$D$33,3,FALSE))*100),0)</f>
        <v>0</v>
      </c>
      <c r="BB33" s="21">
        <f>IFERROR(('B3'!AA76/(VLOOKUP(D5,Currency!$A$2:$D$33,3,FALSE))*100),0)</f>
        <v>0</v>
      </c>
      <c r="BC33" s="21">
        <f>IFERROR(('B3'!AB76/(VLOOKUP(D5,Currency!$A$2:$D$33,3,FALSE))*100),0)</f>
        <v>0</v>
      </c>
      <c r="BD33" s="181">
        <f t="shared" si="68"/>
        <v>0</v>
      </c>
      <c r="BF33" s="192" t="s">
        <v>96</v>
      </c>
      <c r="BG33" s="119"/>
      <c r="BH33" s="21">
        <f>IFERROR(('B4'!S76/(VLOOKUP(D5,Currency!$A$2:$D$33,3,FALSE))*100),0)</f>
        <v>0</v>
      </c>
      <c r="BI33" s="21">
        <f>IFERROR(('B4'!T76/(VLOOKUP(D5,Currency!$A$2:$D$33,3,FALSE))*100),0)</f>
        <v>0</v>
      </c>
      <c r="BJ33" s="21">
        <f>IFERROR(('B4'!U76/(VLOOKUP(D5,Currency!$A$2:$D$33,3,FALSE))*100),0)</f>
        <v>0</v>
      </c>
      <c r="BK33" s="21">
        <f>IFERROR(('B4'!V76/(VLOOKUP(D5,Currency!$A$2:$D$33,3,FALSE))*100),0)</f>
        <v>0</v>
      </c>
      <c r="BL33" s="21">
        <f>IFERROR(('B4'!W76/(VLOOKUP(D5,Currency!$A$2:$D$33,3,FALSE))*100),0)</f>
        <v>0</v>
      </c>
      <c r="BM33" s="21">
        <f>IFERROR(('B4'!X76/(VLOOKUP(D5,Currency!$A$2:$D$33,3,FALSE))*100),0)</f>
        <v>0</v>
      </c>
      <c r="BN33" s="119">
        <f>IFERROR(('B4'!Y76/(VLOOKUP(D5,Currency!$A$2:$D$33,3,FALSE))*100),0)</f>
        <v>0</v>
      </c>
      <c r="BO33" s="21">
        <f>IFERROR(('B4'!Z76/(VLOOKUP(D5,Currency!$A$2:$D$33,3,FALSE))*100),0)</f>
        <v>0</v>
      </c>
      <c r="BP33" s="21">
        <f>IFERROR(('B4'!AA76/(VLOOKUP(D5,Currency!$A$2:$D$33,3,FALSE))*100),0)</f>
        <v>0</v>
      </c>
      <c r="BQ33" s="21">
        <f>IFERROR(('B4'!AB76/(VLOOKUP(D5,Currency!$A$2:$D$33,3,FALSE))*100),0)</f>
        <v>0</v>
      </c>
      <c r="BR33" s="181">
        <f t="shared" si="69"/>
        <v>0</v>
      </c>
      <c r="BT33" s="192" t="s">
        <v>96</v>
      </c>
      <c r="BU33" s="119"/>
      <c r="BV33" s="21">
        <f>IFERROR(('B5'!S76/(VLOOKUP(D5,Currency!$A$2:$D$33,3,FALSE))*100),0)</f>
        <v>0</v>
      </c>
      <c r="BW33" s="21">
        <f>IFERROR(('B5'!T76/(VLOOKUP(D5,Currency!$A$2:$D$33,3,FALSE))*100),0)</f>
        <v>0</v>
      </c>
      <c r="BX33" s="21">
        <f>IFERROR(('B5'!U76/(VLOOKUP(D5,Currency!$A$2:$D$33,3,FALSE))*100),0)</f>
        <v>0</v>
      </c>
      <c r="BY33" s="21">
        <f>IFERROR(('B5'!V76/(VLOOKUP(D5,Currency!$A$2:$D$33,3,FALSE))*100),0)</f>
        <v>0</v>
      </c>
      <c r="BZ33" s="21">
        <f>IFERROR(('B5'!W76/(VLOOKUP(D5,Currency!$A$2:$D$33,3,FALSE))*100),0)</f>
        <v>0</v>
      </c>
      <c r="CA33" s="21">
        <f>IFERROR(('B5'!X76/(VLOOKUP(D5,Currency!$A$2:$D$33,3,FALSE))*100),0)</f>
        <v>0</v>
      </c>
      <c r="CB33" s="119">
        <f>IFERROR(('B5'!Y76/(VLOOKUP(D5,Currency!$A$2:$D$33,3,FALSE))*100),0)</f>
        <v>0</v>
      </c>
      <c r="CC33" s="21">
        <f>IFERROR(('B5'!Z76/(VLOOKUP(D5,Currency!$A$2:$D$33,3,FALSE))*100),0)</f>
        <v>0</v>
      </c>
      <c r="CD33" s="21">
        <f>IFERROR(('B5'!AA76/(VLOOKUP(D5,Currency!$A$2:$D$33,3,FALSE))*100),0)</f>
        <v>0</v>
      </c>
      <c r="CE33" s="21">
        <f>IFERROR(('B5'!AB76/(VLOOKUP(D5,Currency!$A$2:$D$33,3,FALSE))*100),0)</f>
        <v>0</v>
      </c>
      <c r="CF33" s="181">
        <f t="shared" si="70"/>
        <v>0</v>
      </c>
    </row>
    <row r="34" spans="2:84" x14ac:dyDescent="0.2">
      <c r="B34" s="192" t="s">
        <v>108</v>
      </c>
      <c r="C34" s="119"/>
      <c r="D34" s="21">
        <f>IFERROR((Total!D27/(VLOOKUP(D5,Currency!$A$2:$D$33,3,FALSE))*100),0)</f>
        <v>0</v>
      </c>
      <c r="E34" s="21">
        <f>IFERROR((Total!E27/(VLOOKUP(D5,Currency!$A$2:$D$33,3,FALSE))*100),0)</f>
        <v>0</v>
      </c>
      <c r="F34" s="21">
        <f>IFERROR((Total!F27/(VLOOKUP(D5,Currency!$A$2:$D$33,3,FALSE))*100),0)</f>
        <v>0</v>
      </c>
      <c r="G34" s="21">
        <f>IFERROR((Total!G27/(VLOOKUP(D5,Currency!$A$2:$D$33,3,FALSE))*100),0)</f>
        <v>0</v>
      </c>
      <c r="H34" s="21">
        <f>IFERROR((Total!H27/(VLOOKUP(D5,Currency!$A$2:$D$33,3,FALSE))*100),0)</f>
        <v>0</v>
      </c>
      <c r="I34" s="21">
        <f>IFERROR((Total!I27/(VLOOKUP(D5,Currency!$A$2:$D$33,3,FALSE))*100),0)</f>
        <v>0</v>
      </c>
      <c r="J34" s="21">
        <f>IFERROR((Total!J27/(VLOOKUP(D5,Currency!$A$2:$D$33,3,FALSE))*100),0)</f>
        <v>0</v>
      </c>
      <c r="K34" s="21">
        <f>IFERROR((Total!K27/(VLOOKUP(D5,Currency!$A$2:$D$33,3,FALSE))*100),0)</f>
        <v>0</v>
      </c>
      <c r="L34" s="21">
        <f>IFERROR((Total!L27/(VLOOKUP(D5,Currency!$A$2:$D$33,3,FALSE))*100),0)</f>
        <v>0</v>
      </c>
      <c r="M34" s="21">
        <f>IFERROR((Total!M27/(VLOOKUP(D5,Currency!$A$2:$D$33,3,FALSE))*100),0)</f>
        <v>0</v>
      </c>
      <c r="N34" s="181">
        <f t="shared" si="65"/>
        <v>0</v>
      </c>
      <c r="P34" s="192" t="s">
        <v>108</v>
      </c>
      <c r="Q34" s="119"/>
      <c r="R34" s="21">
        <f>IFERROR(('B1'!S77/(VLOOKUP(D5,Currency!$A$2:$D$33,3,FALSE))*100),0)</f>
        <v>0</v>
      </c>
      <c r="S34" s="21">
        <f>IFERROR(('B1'!T77/(VLOOKUP(D5,Currency!$A$2:$D$33,3,FALSE))*100),0)</f>
        <v>0</v>
      </c>
      <c r="T34" s="21">
        <f>IFERROR(('B1'!U77/(VLOOKUP(D5,Currency!$A$2:$D$33,3,FALSE))*100),0)</f>
        <v>0</v>
      </c>
      <c r="U34" s="21">
        <f>IFERROR(('B1'!V77/(VLOOKUP(D5,Currency!$A$2:$D$33,3,FALSE))*100),0)</f>
        <v>0</v>
      </c>
      <c r="V34" s="21">
        <f>IFERROR(('B1'!W77/(VLOOKUP(D5,Currency!$A$2:$D$33,3,FALSE))*100),0)</f>
        <v>0</v>
      </c>
      <c r="W34" s="21">
        <f>IFERROR(('B1'!X77/(VLOOKUP(D5,Currency!$A$2:$D$33,3,FALSE))*100),0)</f>
        <v>0</v>
      </c>
      <c r="X34" s="21">
        <f>IFERROR(('B1'!Y77/(VLOOKUP(D5,Currency!$A$2:$D$33,3,FALSE))*100),0)</f>
        <v>0</v>
      </c>
      <c r="Y34" s="21">
        <f>IFERROR(('B1'!Z77/(VLOOKUP(D5,Currency!$A$2:$D$33,3,FALSE))*100),0)</f>
        <v>0</v>
      </c>
      <c r="Z34" s="21">
        <f>IFERROR(('B1'!AA77/(VLOOKUP(D5,Currency!$A$2:$D$33,3,FALSE))*100),0)</f>
        <v>0</v>
      </c>
      <c r="AA34" s="21">
        <f>IFERROR(('B1'!AB77/(VLOOKUP(D5,Currency!$A$2:$D$33,3,FALSE))*100),0)</f>
        <v>0</v>
      </c>
      <c r="AB34" s="181">
        <f t="shared" si="66"/>
        <v>0</v>
      </c>
      <c r="AD34" s="192" t="s">
        <v>108</v>
      </c>
      <c r="AE34" s="119"/>
      <c r="AF34" s="21">
        <f>IFERROR(('B2'!S77/(VLOOKUP(D5,Currency!$A$2:$D$33,3,FALSE))*100),0)</f>
        <v>0</v>
      </c>
      <c r="AG34" s="21">
        <f>IFERROR(('B2'!T77/(VLOOKUP(D5,Currency!$A$2:$D$33,3,FALSE))*100),0)</f>
        <v>0</v>
      </c>
      <c r="AH34" s="21">
        <f>IFERROR(('B2'!U77/(VLOOKUP(D5,Currency!$A$2:$D$33,3,FALSE))*100),0)</f>
        <v>0</v>
      </c>
      <c r="AI34" s="21">
        <f>IFERROR(('B2'!V77/(VLOOKUP(D5,Currency!$A$2:$D$33,3,FALSE))*100),0)</f>
        <v>0</v>
      </c>
      <c r="AJ34" s="21">
        <f>IFERROR(('B2'!W77/(VLOOKUP(D5,Currency!$A$2:$D$33,3,FALSE))*100),0)</f>
        <v>0</v>
      </c>
      <c r="AK34" s="21">
        <f>IFERROR(('B2'!X77/(VLOOKUP(D5,Currency!$A$2:$D$33,3,FALSE))*100),0)</f>
        <v>0</v>
      </c>
      <c r="AL34" s="21">
        <f>IFERROR(('B2'!Y77/(VLOOKUP(D5,Currency!$A$2:$D$33,3,FALSE))*100),0)</f>
        <v>0</v>
      </c>
      <c r="AM34" s="21">
        <f>IFERROR(('B2'!Z77/(VLOOKUP(D5,Currency!$A$2:$D$33,3,FALSE))*100),0)</f>
        <v>0</v>
      </c>
      <c r="AN34" s="21">
        <f>IFERROR(('B2'!AA77/(VLOOKUP(D5,Currency!$A$2:$D$33,3,FALSE))*100),0)</f>
        <v>0</v>
      </c>
      <c r="AO34" s="21">
        <f>IFERROR(('B2'!AB77/(VLOOKUP(D5,Currency!$A$2:$D$33,3,FALSE))*100),0)</f>
        <v>0</v>
      </c>
      <c r="AP34" s="181">
        <f t="shared" si="67"/>
        <v>0</v>
      </c>
      <c r="AR34" s="192" t="s">
        <v>108</v>
      </c>
      <c r="AS34" s="119"/>
      <c r="AT34" s="21">
        <f>IFERROR(('B3'!S77/(VLOOKUP(D5,Currency!$A$2:$D$33,3,FALSE))*100),0)</f>
        <v>0</v>
      </c>
      <c r="AU34" s="21">
        <f>IFERROR(('B3'!T77/(VLOOKUP(D5,Currency!$A$2:$D$33,3,FALSE))*100),0)</f>
        <v>0</v>
      </c>
      <c r="AV34" s="21">
        <f>IFERROR(('B3'!U77/(VLOOKUP(D5,Currency!$A$2:$D$33,3,FALSE))*100),0)</f>
        <v>0</v>
      </c>
      <c r="AW34" s="21">
        <f>IFERROR(('B3'!V77/(VLOOKUP(D5,Currency!$A$2:$D$33,3,FALSE))*100),0)</f>
        <v>0</v>
      </c>
      <c r="AX34" s="21">
        <f>IFERROR(('B3'!W77/(VLOOKUP(D5,Currency!$A$2:$D$33,3,FALSE))*100),0)</f>
        <v>0</v>
      </c>
      <c r="AY34" s="21">
        <f>IFERROR(('B3'!X77/(VLOOKUP(D5,Currency!$A$2:$D$33,3,FALSE))*100),0)</f>
        <v>0</v>
      </c>
      <c r="AZ34" s="21">
        <f>IFERROR(('B3'!Y77/(VLOOKUP(D5,Currency!$A$2:$D$33,3,FALSE))*100),0)</f>
        <v>0</v>
      </c>
      <c r="BA34" s="21">
        <f>IFERROR(('B3'!Z77/(VLOOKUP(D5,Currency!$A$2:$D$33,3,FALSE))*100),0)</f>
        <v>0</v>
      </c>
      <c r="BB34" s="21">
        <f>IFERROR(('B3'!AA77/(VLOOKUP(D5,Currency!$A$2:$D$33,3,FALSE))*100),0)</f>
        <v>0</v>
      </c>
      <c r="BC34" s="21">
        <f>IFERROR(('B3'!AB77/(VLOOKUP(D5,Currency!$A$2:$D$33,3,FALSE))*100),0)</f>
        <v>0</v>
      </c>
      <c r="BD34" s="181">
        <f t="shared" si="68"/>
        <v>0</v>
      </c>
      <c r="BF34" s="192" t="s">
        <v>108</v>
      </c>
      <c r="BG34" s="119"/>
      <c r="BH34" s="21">
        <f>IFERROR(('B4'!S77/(VLOOKUP(D5,Currency!$A$2:$D$33,3,FALSE))*100),0)</f>
        <v>0</v>
      </c>
      <c r="BI34" s="21">
        <f>IFERROR(('B4'!T77/(VLOOKUP(D5,Currency!$A$2:$D$33,3,FALSE))*100),0)</f>
        <v>0</v>
      </c>
      <c r="BJ34" s="21">
        <f>IFERROR(('B4'!U77/(VLOOKUP(D5,Currency!$A$2:$D$33,3,FALSE))*100),0)</f>
        <v>0</v>
      </c>
      <c r="BK34" s="21">
        <f>IFERROR(('B4'!V77/(VLOOKUP(D5,Currency!$A$2:$D$33,3,FALSE))*100),0)</f>
        <v>0</v>
      </c>
      <c r="BL34" s="21">
        <f>IFERROR(('B4'!W77/(VLOOKUP(D5,Currency!$A$2:$D$33,3,FALSE))*100),0)</f>
        <v>0</v>
      </c>
      <c r="BM34" s="21">
        <f>IFERROR(('B4'!X77/(VLOOKUP(D5,Currency!$A$2:$D$33,3,FALSE))*100),0)</f>
        <v>0</v>
      </c>
      <c r="BN34" s="21">
        <f>IFERROR(('B4'!Y77/(VLOOKUP(D5,Currency!$A$2:$D$33,3,FALSE))*100),0)</f>
        <v>0</v>
      </c>
      <c r="BO34" s="21">
        <f>IFERROR(('B4'!Z77/(VLOOKUP(D5,Currency!$A$2:$D$33,3,FALSE))*100),0)</f>
        <v>0</v>
      </c>
      <c r="BP34" s="21">
        <f>IFERROR(('B4'!AA77/(VLOOKUP(D5,Currency!$A$2:$D$33,3,FALSE))*100),0)</f>
        <v>0</v>
      </c>
      <c r="BQ34" s="21">
        <f>IFERROR(('B4'!AB77/(VLOOKUP(D5,Currency!$A$2:$D$33,3,FALSE))*100),0)</f>
        <v>0</v>
      </c>
      <c r="BR34" s="181">
        <f t="shared" si="69"/>
        <v>0</v>
      </c>
      <c r="BT34" s="192" t="s">
        <v>108</v>
      </c>
      <c r="BU34" s="119"/>
      <c r="BV34" s="21">
        <f>IFERROR(('B5'!S77/(VLOOKUP(D5,Currency!$A$2:$D$33,3,FALSE))*100),0)</f>
        <v>0</v>
      </c>
      <c r="BW34" s="21">
        <f>IFERROR(('B5'!T77/(VLOOKUP(D5,Currency!$A$2:$D$33,3,FALSE))*100),0)</f>
        <v>0</v>
      </c>
      <c r="BX34" s="21">
        <f>IFERROR(('B5'!U77/(VLOOKUP(D5,Currency!$A$2:$D$33,3,FALSE))*100),0)</f>
        <v>0</v>
      </c>
      <c r="BY34" s="21">
        <f>IFERROR(('B5'!V77/(VLOOKUP(D5,Currency!$A$2:$D$33,3,FALSE))*100),0)</f>
        <v>0</v>
      </c>
      <c r="BZ34" s="21">
        <f>IFERROR(('B5'!W77/(VLOOKUP(D5,Currency!$A$2:$D$33,3,FALSE))*100),0)</f>
        <v>0</v>
      </c>
      <c r="CA34" s="21">
        <f>IFERROR(('B5'!X77/(VLOOKUP(D5,Currency!$A$2:$D$33,3,FALSE))*100),0)</f>
        <v>0</v>
      </c>
      <c r="CB34" s="21">
        <f>IFERROR(('B5'!Y77/(VLOOKUP(D5,Currency!$A$2:$D$33,3,FALSE))*100),0)</f>
        <v>0</v>
      </c>
      <c r="CC34" s="21">
        <f>IFERROR(('B5'!Z77/(VLOOKUP(D5,Currency!$A$2:$D$33,3,FALSE))*100),0)</f>
        <v>0</v>
      </c>
      <c r="CD34" s="21">
        <f>IFERROR(('B5'!AA77/(VLOOKUP(D5,Currency!$A$2:$D$33,3,FALSE))*100),0)</f>
        <v>0</v>
      </c>
      <c r="CE34" s="21">
        <f>IFERROR(('B5'!AB77/(VLOOKUP(D5,Currency!$A$2:$D$33,3,FALSE))*100),0)</f>
        <v>0</v>
      </c>
      <c r="CF34" s="181">
        <f t="shared" si="70"/>
        <v>0</v>
      </c>
    </row>
    <row r="35" spans="2:84" x14ac:dyDescent="0.2">
      <c r="B35" s="191" t="s">
        <v>545</v>
      </c>
      <c r="C35" s="119"/>
      <c r="D35" s="21">
        <f>IFERROR((Total!D28/(VLOOKUP(D5,Currency!$A$2:$D$33,3,FALSE))*100),0)</f>
        <v>0</v>
      </c>
      <c r="E35" s="21">
        <f>IFERROR((Total!E28/(VLOOKUP(D5,Currency!$A$2:$D$33,3,FALSE))*100),0)</f>
        <v>0</v>
      </c>
      <c r="F35" s="21">
        <f>IFERROR((Total!F28/(VLOOKUP(D5,Currency!$A$2:$D$33,3,FALSE))*100),0)</f>
        <v>0</v>
      </c>
      <c r="G35" s="21">
        <f>IFERROR((Total!G28/(VLOOKUP(D5,Currency!$A$2:$D$33,3,FALSE))*100),0)</f>
        <v>0</v>
      </c>
      <c r="H35" s="21">
        <f>IFERROR((Total!H28/(VLOOKUP(D5,Currency!$A$2:$D$33,3,FALSE))*100),0)</f>
        <v>0</v>
      </c>
      <c r="I35" s="21">
        <f>IFERROR((Total!I28/(VLOOKUP(D5,Currency!$A$2:$D$33,3,FALSE))*100),0)</f>
        <v>0</v>
      </c>
      <c r="J35" s="21">
        <f>IFERROR((Total!J28/(VLOOKUP(D5,Currency!$A$2:$D$33,3,FALSE))*100),0)</f>
        <v>0</v>
      </c>
      <c r="K35" s="21">
        <f>IFERROR((Total!K28/(VLOOKUP(D5,Currency!$A$2:$D$33,3,FALSE))*100),0)</f>
        <v>0</v>
      </c>
      <c r="L35" s="21">
        <f>IFERROR((Total!L28/(VLOOKUP(D5,Currency!$A$2:$D$33,3,FALSE))*100),0)</f>
        <v>0</v>
      </c>
      <c r="M35" s="21">
        <f>IFERROR((Total!M28/(VLOOKUP(D5,Currency!$A$2:$D$33,3,FALSE))*100),0)</f>
        <v>0</v>
      </c>
      <c r="N35" s="181">
        <f t="shared" si="65"/>
        <v>0</v>
      </c>
      <c r="P35" s="191" t="s">
        <v>545</v>
      </c>
      <c r="Q35" s="119"/>
      <c r="R35" s="21">
        <f>IFERROR(('B1'!S78/(VLOOKUP(D5,Currency!$A$2:$D$33,3,FALSE))*100),0)</f>
        <v>0</v>
      </c>
      <c r="S35" s="21">
        <f>IFERROR(('B1'!T78/(VLOOKUP(D5,Currency!$A$2:$D$33,3,FALSE))*100),0)</f>
        <v>0</v>
      </c>
      <c r="T35" s="21">
        <f>IFERROR(('B1'!U78/(VLOOKUP(D5,Currency!$A$2:$D$33,3,FALSE))*100),0)</f>
        <v>0</v>
      </c>
      <c r="U35" s="21">
        <f>IFERROR(('B1'!V78/(VLOOKUP(D5,Currency!$A$2:$D$33,3,FALSE))*100),0)</f>
        <v>0</v>
      </c>
      <c r="V35" s="21">
        <f>IFERROR(('B1'!W78/(VLOOKUP(D5,Currency!$A$2:$D$33,3,FALSE))*100),0)</f>
        <v>0</v>
      </c>
      <c r="W35" s="21">
        <f>IFERROR(('B1'!X78/(VLOOKUP(D5,Currency!$A$2:$D$33,3,FALSE))*100),0)</f>
        <v>0</v>
      </c>
      <c r="X35" s="21">
        <f>IFERROR(('B1'!Y78/(VLOOKUP(D5,Currency!$A$2:$D$33,3,FALSE))*100),0)</f>
        <v>0</v>
      </c>
      <c r="Y35" s="21">
        <f>IFERROR(('B1'!Z78/(VLOOKUP(D5,Currency!$A$2:$D$33,3,FALSE))*100),0)</f>
        <v>0</v>
      </c>
      <c r="Z35" s="21">
        <f>IFERROR(('B1'!AA78/(VLOOKUP(D5,Currency!$A$2:$D$33,3,FALSE))*100),0)</f>
        <v>0</v>
      </c>
      <c r="AA35" s="21">
        <f>IFERROR(('B1'!AB78/(VLOOKUP(D5,Currency!$A$2:$D$33,3,FALSE))*100),0)</f>
        <v>0</v>
      </c>
      <c r="AB35" s="181">
        <f t="shared" si="66"/>
        <v>0</v>
      </c>
      <c r="AD35" s="191" t="s">
        <v>545</v>
      </c>
      <c r="AE35" s="119"/>
      <c r="AF35" s="21">
        <f>IFERROR(('B2'!S78/(VLOOKUP(D5,Currency!$A$2:$D$33,3,FALSE))*100),0)</f>
        <v>0</v>
      </c>
      <c r="AG35" s="21">
        <f>IFERROR(('B2'!T78/(VLOOKUP(D5,Currency!$A$2:$D$33,3,FALSE))*100),0)</f>
        <v>0</v>
      </c>
      <c r="AH35" s="21">
        <f>IFERROR(('B2'!U78/(VLOOKUP(D5,Currency!$A$2:$D$33,3,FALSE))*100),0)</f>
        <v>0</v>
      </c>
      <c r="AI35" s="21">
        <f>IFERROR(('B2'!V78/(VLOOKUP(D5,Currency!$A$2:$D$33,3,FALSE))*100),0)</f>
        <v>0</v>
      </c>
      <c r="AJ35" s="21">
        <f>IFERROR(('B2'!W78/(VLOOKUP(D5,Currency!$A$2:$D$33,3,FALSE))*100),0)</f>
        <v>0</v>
      </c>
      <c r="AK35" s="21">
        <f>IFERROR(('B2'!X78/(VLOOKUP(D5,Currency!$A$2:$D$33,3,FALSE))*100),0)</f>
        <v>0</v>
      </c>
      <c r="AL35" s="21">
        <f>IFERROR(('B2'!Y78/(VLOOKUP(D5,Currency!$A$2:$D$33,3,FALSE))*100),0)</f>
        <v>0</v>
      </c>
      <c r="AM35" s="21">
        <f>IFERROR(('B2'!Z78/(VLOOKUP(D5,Currency!$A$2:$D$33,3,FALSE))*100),0)</f>
        <v>0</v>
      </c>
      <c r="AN35" s="21">
        <f>IFERROR(('B2'!AA78/(VLOOKUP(D5,Currency!$A$2:$D$33,3,FALSE))*100),0)</f>
        <v>0</v>
      </c>
      <c r="AO35" s="21">
        <f>IFERROR(('B2'!AB78/(VLOOKUP(D5,Currency!$A$2:$D$33,3,FALSE))*100),0)</f>
        <v>0</v>
      </c>
      <c r="AP35" s="181">
        <f t="shared" si="67"/>
        <v>0</v>
      </c>
      <c r="AR35" s="191" t="s">
        <v>545</v>
      </c>
      <c r="AS35" s="119"/>
      <c r="AT35" s="21">
        <f>IFERROR(('B3'!S78/(VLOOKUP(D5,Currency!$A$2:$D$33,3,FALSE))*100),0)</f>
        <v>0</v>
      </c>
      <c r="AU35" s="21">
        <f>IFERROR(('B3'!T78/(VLOOKUP(D5,Currency!$A$2:$D$33,3,FALSE))*100),0)</f>
        <v>0</v>
      </c>
      <c r="AV35" s="21">
        <f>IFERROR(('B3'!U78/(VLOOKUP(D5,Currency!$A$2:$D$33,3,FALSE))*100),0)</f>
        <v>0</v>
      </c>
      <c r="AW35" s="21">
        <f>IFERROR(('B3'!V78/(VLOOKUP(D5,Currency!$A$2:$D$33,3,FALSE))*100),0)</f>
        <v>0</v>
      </c>
      <c r="AX35" s="21">
        <f>IFERROR(('B3'!W78/(VLOOKUP(D5,Currency!$A$2:$D$33,3,FALSE))*100),0)</f>
        <v>0</v>
      </c>
      <c r="AY35" s="21">
        <f>IFERROR(('B3'!X78/(VLOOKUP(D5,Currency!$A$2:$D$33,3,FALSE))*100),0)</f>
        <v>0</v>
      </c>
      <c r="AZ35" s="21">
        <f>IFERROR(('B3'!Y78/(VLOOKUP(D5,Currency!$A$2:$D$33,3,FALSE))*100),0)</f>
        <v>0</v>
      </c>
      <c r="BA35" s="21">
        <f>IFERROR(('B3'!Z78/(VLOOKUP(D5,Currency!$A$2:$D$33,3,FALSE))*100),0)</f>
        <v>0</v>
      </c>
      <c r="BB35" s="21">
        <f>IFERROR(('B3'!AA78/(VLOOKUP(D5,Currency!$A$2:$D$33,3,FALSE))*100),0)</f>
        <v>0</v>
      </c>
      <c r="BC35" s="21">
        <f>IFERROR(('B3'!AB78/(VLOOKUP(D5,Currency!$A$2:$D$33,3,FALSE))*100),0)</f>
        <v>0</v>
      </c>
      <c r="BD35" s="181">
        <f t="shared" si="68"/>
        <v>0</v>
      </c>
      <c r="BF35" s="191" t="s">
        <v>545</v>
      </c>
      <c r="BG35" s="119"/>
      <c r="BH35" s="21">
        <f>IFERROR(('B4'!S78/(VLOOKUP(D5,Currency!$A$2:$D$33,3,FALSE))*100),0)</f>
        <v>0</v>
      </c>
      <c r="BI35" s="21">
        <f>IFERROR(('B4'!T78/(VLOOKUP(D5,Currency!$A$2:$D$33,3,FALSE))*100),0)</f>
        <v>0</v>
      </c>
      <c r="BJ35" s="21">
        <f>IFERROR(('B4'!U78/(VLOOKUP(D5,Currency!$A$2:$D$33,3,FALSE))*100),0)</f>
        <v>0</v>
      </c>
      <c r="BK35" s="21">
        <f>IFERROR(('B4'!V78/(VLOOKUP(D5,Currency!$A$2:$D$33,3,FALSE))*100),0)</f>
        <v>0</v>
      </c>
      <c r="BL35" s="21">
        <f>IFERROR(('B4'!W78/(VLOOKUP(D5,Currency!$A$2:$D$33,3,FALSE))*100),0)</f>
        <v>0</v>
      </c>
      <c r="BM35" s="21">
        <f>IFERROR(('B4'!X78/(VLOOKUP(D5,Currency!$A$2:$D$33,3,FALSE))*100),0)</f>
        <v>0</v>
      </c>
      <c r="BN35" s="21">
        <f>IFERROR(('B4'!Y78/(VLOOKUP(D5,Currency!$A$2:$D$33,3,FALSE))*100),0)</f>
        <v>0</v>
      </c>
      <c r="BO35" s="21">
        <f>IFERROR(('B4'!Z78/(VLOOKUP(D5,Currency!$A$2:$D$33,3,FALSE))*100),0)</f>
        <v>0</v>
      </c>
      <c r="BP35" s="21">
        <f>IFERROR(('B4'!AA78/(VLOOKUP(D5,Currency!$A$2:$D$33,3,FALSE))*100),0)</f>
        <v>0</v>
      </c>
      <c r="BQ35" s="21">
        <f>IFERROR(('B4'!AB78/(VLOOKUP(D5,Currency!$A$2:$D$33,3,FALSE))*100),0)</f>
        <v>0</v>
      </c>
      <c r="BR35" s="181">
        <f t="shared" si="69"/>
        <v>0</v>
      </c>
      <c r="BT35" s="191" t="s">
        <v>545</v>
      </c>
      <c r="BU35" s="119"/>
      <c r="BV35" s="21">
        <f>IFERROR(('B5'!S78/(VLOOKUP(D5,Currency!$A$2:$D$33,3,FALSE))*100),0)</f>
        <v>0</v>
      </c>
      <c r="BW35" s="21">
        <f>IFERROR(('B5'!T78/(VLOOKUP(D5,Currency!$A$2:$D$33,3,FALSE))*100),0)</f>
        <v>0</v>
      </c>
      <c r="BX35" s="21">
        <f>IFERROR(('B5'!U78/(VLOOKUP(D5,Currency!$A$2:$D$33,3,FALSE))*100),0)</f>
        <v>0</v>
      </c>
      <c r="BY35" s="21">
        <f>IFERROR(('B5'!V78/(VLOOKUP(D5,Currency!$A$2:$D$33,3,FALSE))*100),0)</f>
        <v>0</v>
      </c>
      <c r="BZ35" s="21">
        <f>IFERROR(('B5'!W78/(VLOOKUP(D5,Currency!$A$2:$D$33,3,FALSE))*100),0)</f>
        <v>0</v>
      </c>
      <c r="CA35" s="21">
        <f>IFERROR(('B5'!X78/(VLOOKUP(D5,Currency!$A$2:$D$33,3,FALSE))*100),0)</f>
        <v>0</v>
      </c>
      <c r="CB35" s="21">
        <f>IFERROR(('B5'!Y78/(VLOOKUP(D5,Currency!$A$2:$D$33,3,FALSE))*100),0)</f>
        <v>0</v>
      </c>
      <c r="CC35" s="21">
        <f>IFERROR(('B5'!Z78/(VLOOKUP(D5,Currency!$A$2:$D$33,3,FALSE))*100),0)</f>
        <v>0</v>
      </c>
      <c r="CD35" s="21">
        <f>IFERROR(('B5'!AA78/(VLOOKUP(D5,Currency!$A$2:$D$33,3,FALSE))*100),0)</f>
        <v>0</v>
      </c>
      <c r="CE35" s="21">
        <f>IFERROR(('B5'!AB78/(VLOOKUP(D5,Currency!$A$2:$D$33,3,FALSE))*100),0)</f>
        <v>0</v>
      </c>
      <c r="CF35" s="181">
        <f t="shared" si="70"/>
        <v>0</v>
      </c>
    </row>
    <row r="36" spans="2:84" ht="15" thickBot="1" x14ac:dyDescent="0.25">
      <c r="B36" s="193" t="s">
        <v>101</v>
      </c>
      <c r="C36" s="194"/>
      <c r="D36" s="152">
        <f>+SUM(D31:D35)</f>
        <v>0</v>
      </c>
      <c r="E36" s="152">
        <f t="shared" ref="E36:K36" si="71">+SUM(E31:E35)</f>
        <v>180284.91784824035</v>
      </c>
      <c r="F36" s="152">
        <f t="shared" si="71"/>
        <v>188409.63306440809</v>
      </c>
      <c r="G36" s="152">
        <f t="shared" si="71"/>
        <v>190135.08804846017</v>
      </c>
      <c r="H36" s="152">
        <f t="shared" si="71"/>
        <v>98082.902248787155</v>
      </c>
      <c r="I36" s="152">
        <f t="shared" si="71"/>
        <v>0</v>
      </c>
      <c r="J36" s="152">
        <f t="shared" si="71"/>
        <v>0</v>
      </c>
      <c r="K36" s="152">
        <f t="shared" si="71"/>
        <v>0</v>
      </c>
      <c r="L36" s="152">
        <f t="shared" ref="L36:M36" si="72">+SUM(L31:L35)</f>
        <v>0</v>
      </c>
      <c r="M36" s="152">
        <f t="shared" si="72"/>
        <v>0</v>
      </c>
      <c r="N36" s="182">
        <f t="shared" si="65"/>
        <v>656912.54120989575</v>
      </c>
      <c r="P36" s="193" t="s">
        <v>101</v>
      </c>
      <c r="Q36" s="194"/>
      <c r="R36" s="152">
        <f>+SUM(R31:R35)</f>
        <v>0</v>
      </c>
      <c r="S36" s="152">
        <f t="shared" ref="S36:Y36" si="73">+SUM(S31:S35)</f>
        <v>180284.91784824035</v>
      </c>
      <c r="T36" s="152">
        <f t="shared" si="73"/>
        <v>188409.63306440809</v>
      </c>
      <c r="U36" s="152">
        <f t="shared" si="73"/>
        <v>190135.08804846017</v>
      </c>
      <c r="V36" s="152">
        <f t="shared" si="73"/>
        <v>98082.902248787155</v>
      </c>
      <c r="W36" s="152">
        <f t="shared" si="73"/>
        <v>0</v>
      </c>
      <c r="X36" s="152">
        <f t="shared" si="73"/>
        <v>0</v>
      </c>
      <c r="Y36" s="152">
        <f t="shared" si="73"/>
        <v>0</v>
      </c>
      <c r="Z36" s="152">
        <f t="shared" ref="Z36:AA36" si="74">+SUM(Z31:Z35)</f>
        <v>0</v>
      </c>
      <c r="AA36" s="152">
        <f t="shared" si="74"/>
        <v>0</v>
      </c>
      <c r="AB36" s="182">
        <f t="shared" si="66"/>
        <v>656912.54120989575</v>
      </c>
      <c r="AD36" s="193" t="s">
        <v>101</v>
      </c>
      <c r="AE36" s="194"/>
      <c r="AF36" s="152">
        <f>+SUM(AF31:AF35)</f>
        <v>0</v>
      </c>
      <c r="AG36" s="152">
        <f t="shared" ref="AG36:AM36" si="75">+SUM(AG31:AG35)</f>
        <v>0</v>
      </c>
      <c r="AH36" s="152">
        <f t="shared" si="75"/>
        <v>0</v>
      </c>
      <c r="AI36" s="152">
        <f t="shared" si="75"/>
        <v>0</v>
      </c>
      <c r="AJ36" s="152">
        <f t="shared" si="75"/>
        <v>0</v>
      </c>
      <c r="AK36" s="152">
        <f t="shared" si="75"/>
        <v>0</v>
      </c>
      <c r="AL36" s="152">
        <f t="shared" si="75"/>
        <v>0</v>
      </c>
      <c r="AM36" s="152">
        <f t="shared" si="75"/>
        <v>0</v>
      </c>
      <c r="AN36" s="152">
        <f t="shared" ref="AN36:AO36" si="76">+SUM(AN31:AN35)</f>
        <v>0</v>
      </c>
      <c r="AO36" s="152">
        <f t="shared" si="76"/>
        <v>0</v>
      </c>
      <c r="AP36" s="182">
        <f t="shared" si="67"/>
        <v>0</v>
      </c>
      <c r="AR36" s="193" t="s">
        <v>101</v>
      </c>
      <c r="AS36" s="194"/>
      <c r="AT36" s="152">
        <f>+SUM(AT31:AT35)</f>
        <v>0</v>
      </c>
      <c r="AU36" s="152">
        <f t="shared" ref="AU36:BA36" si="77">+SUM(AU31:AU35)</f>
        <v>0</v>
      </c>
      <c r="AV36" s="152">
        <f t="shared" si="77"/>
        <v>0</v>
      </c>
      <c r="AW36" s="152">
        <f t="shared" si="77"/>
        <v>0</v>
      </c>
      <c r="AX36" s="152">
        <f t="shared" si="77"/>
        <v>0</v>
      </c>
      <c r="AY36" s="152">
        <f t="shared" si="77"/>
        <v>0</v>
      </c>
      <c r="AZ36" s="152">
        <f t="shared" si="77"/>
        <v>0</v>
      </c>
      <c r="BA36" s="152">
        <f t="shared" si="77"/>
        <v>0</v>
      </c>
      <c r="BB36" s="152">
        <f t="shared" ref="BB36:BC36" si="78">+SUM(BB31:BB35)</f>
        <v>0</v>
      </c>
      <c r="BC36" s="152">
        <f t="shared" si="78"/>
        <v>0</v>
      </c>
      <c r="BD36" s="182">
        <f t="shared" si="68"/>
        <v>0</v>
      </c>
      <c r="BF36" s="193" t="s">
        <v>101</v>
      </c>
      <c r="BG36" s="194"/>
      <c r="BH36" s="152">
        <f>+SUM(BH31:BH35)</f>
        <v>0</v>
      </c>
      <c r="BI36" s="152">
        <f t="shared" ref="BI36:BO36" si="79">+SUM(BI31:BI35)</f>
        <v>0</v>
      </c>
      <c r="BJ36" s="152">
        <f t="shared" si="79"/>
        <v>0</v>
      </c>
      <c r="BK36" s="152">
        <f t="shared" si="79"/>
        <v>0</v>
      </c>
      <c r="BL36" s="152">
        <f t="shared" si="79"/>
        <v>0</v>
      </c>
      <c r="BM36" s="152">
        <f t="shared" si="79"/>
        <v>0</v>
      </c>
      <c r="BN36" s="152">
        <f t="shared" si="79"/>
        <v>0</v>
      </c>
      <c r="BO36" s="152">
        <f t="shared" si="79"/>
        <v>0</v>
      </c>
      <c r="BP36" s="152">
        <f t="shared" ref="BP36:BQ36" si="80">+SUM(BP31:BP35)</f>
        <v>0</v>
      </c>
      <c r="BQ36" s="152">
        <f t="shared" si="80"/>
        <v>0</v>
      </c>
      <c r="BR36" s="182">
        <f t="shared" si="69"/>
        <v>0</v>
      </c>
      <c r="BT36" s="193" t="s">
        <v>101</v>
      </c>
      <c r="BU36" s="194"/>
      <c r="BV36" s="152">
        <f>+SUM(BV31:BV35)</f>
        <v>0</v>
      </c>
      <c r="BW36" s="152">
        <f t="shared" ref="BW36:CC36" si="81">+SUM(BW31:BW35)</f>
        <v>0</v>
      </c>
      <c r="BX36" s="152">
        <f t="shared" si="81"/>
        <v>0</v>
      </c>
      <c r="BY36" s="152">
        <f t="shared" si="81"/>
        <v>0</v>
      </c>
      <c r="BZ36" s="152">
        <f t="shared" si="81"/>
        <v>0</v>
      </c>
      <c r="CA36" s="152">
        <f t="shared" si="81"/>
        <v>0</v>
      </c>
      <c r="CB36" s="152">
        <f t="shared" si="81"/>
        <v>0</v>
      </c>
      <c r="CC36" s="152">
        <f t="shared" si="81"/>
        <v>0</v>
      </c>
      <c r="CD36" s="152">
        <f t="shared" ref="CD36:CE36" si="82">+SUM(CD31:CD35)</f>
        <v>0</v>
      </c>
      <c r="CE36" s="152">
        <f t="shared" si="82"/>
        <v>0</v>
      </c>
      <c r="CF36" s="182">
        <f t="shared" si="70"/>
        <v>0</v>
      </c>
    </row>
    <row r="37" spans="2:84" ht="15" thickBot="1" x14ac:dyDescent="0.25">
      <c r="B37" s="23"/>
      <c r="C37" s="16"/>
      <c r="D37" s="16"/>
      <c r="E37" s="200"/>
      <c r="F37" s="200"/>
      <c r="G37" s="200"/>
      <c r="H37" s="200"/>
      <c r="I37" s="200"/>
      <c r="J37" s="200"/>
      <c r="K37" s="200"/>
      <c r="L37" s="200"/>
      <c r="M37" s="200"/>
      <c r="N37" s="183"/>
      <c r="P37" s="23"/>
      <c r="Q37" s="16"/>
      <c r="R37" s="16"/>
      <c r="S37" s="200"/>
      <c r="T37" s="200"/>
      <c r="U37" s="200"/>
      <c r="V37" s="200"/>
      <c r="W37" s="200"/>
      <c r="X37" s="200"/>
      <c r="Y37" s="200"/>
      <c r="Z37" s="200"/>
      <c r="AA37" s="200"/>
      <c r="AB37" s="183"/>
      <c r="AD37" s="23"/>
      <c r="AE37" s="16"/>
      <c r="AF37" s="16"/>
      <c r="AG37" s="200"/>
      <c r="AH37" s="200"/>
      <c r="AI37" s="200"/>
      <c r="AJ37" s="200"/>
      <c r="AK37" s="200"/>
      <c r="AL37" s="200"/>
      <c r="AM37" s="200"/>
      <c r="AN37" s="200"/>
      <c r="AO37" s="200"/>
      <c r="AP37" s="183"/>
      <c r="AR37" s="23"/>
      <c r="AS37" s="16"/>
      <c r="AT37" s="16"/>
      <c r="AU37" s="200"/>
      <c r="AV37" s="200"/>
      <c r="AW37" s="200"/>
      <c r="AX37" s="200"/>
      <c r="AY37" s="200"/>
      <c r="AZ37" s="200"/>
      <c r="BA37" s="200"/>
      <c r="BB37" s="200"/>
      <c r="BC37" s="200"/>
      <c r="BD37" s="183"/>
      <c r="BF37" s="23"/>
      <c r="BG37" s="16"/>
      <c r="BH37" s="16"/>
      <c r="BI37" s="200"/>
      <c r="BJ37" s="200"/>
      <c r="BK37" s="200"/>
      <c r="BL37" s="200"/>
      <c r="BM37" s="200"/>
      <c r="BN37" s="200"/>
      <c r="BO37" s="200"/>
      <c r="BP37" s="200"/>
      <c r="BQ37" s="200"/>
      <c r="BR37" s="183"/>
      <c r="BT37" s="23"/>
      <c r="BU37" s="16"/>
      <c r="BV37" s="16"/>
      <c r="BW37" s="200"/>
      <c r="BX37" s="200"/>
      <c r="BY37" s="200"/>
      <c r="BZ37" s="200"/>
      <c r="CA37" s="200"/>
      <c r="CB37" s="200"/>
      <c r="CC37" s="200"/>
      <c r="CD37" s="200"/>
      <c r="CE37" s="200"/>
      <c r="CF37" s="183"/>
    </row>
    <row r="38" spans="2:84" ht="18" x14ac:dyDescent="0.25">
      <c r="B38" s="186" t="s">
        <v>606</v>
      </c>
      <c r="C38" s="201"/>
      <c r="D38" s="201"/>
      <c r="E38" s="201"/>
      <c r="F38" s="201"/>
      <c r="G38" s="201"/>
      <c r="H38" s="201"/>
      <c r="I38" s="201"/>
      <c r="J38" s="201"/>
      <c r="K38" s="201"/>
      <c r="L38" s="201"/>
      <c r="M38" s="201"/>
      <c r="N38" s="184"/>
      <c r="P38" s="186" t="s">
        <v>606</v>
      </c>
      <c r="Q38" s="201"/>
      <c r="R38" s="201"/>
      <c r="S38" s="201"/>
      <c r="T38" s="201"/>
      <c r="U38" s="201"/>
      <c r="V38" s="201"/>
      <c r="W38" s="201"/>
      <c r="X38" s="201"/>
      <c r="Y38" s="201"/>
      <c r="Z38" s="201"/>
      <c r="AA38" s="201"/>
      <c r="AB38" s="184"/>
      <c r="AD38" s="186" t="s">
        <v>606</v>
      </c>
      <c r="AE38" s="201"/>
      <c r="AF38" s="201"/>
      <c r="AG38" s="201"/>
      <c r="AH38" s="201"/>
      <c r="AI38" s="201"/>
      <c r="AJ38" s="201"/>
      <c r="AK38" s="201"/>
      <c r="AL38" s="201"/>
      <c r="AM38" s="201"/>
      <c r="AN38" s="201"/>
      <c r="AO38" s="201"/>
      <c r="AP38" s="184"/>
      <c r="AR38" s="186" t="s">
        <v>606</v>
      </c>
      <c r="AS38" s="201"/>
      <c r="AT38" s="201"/>
      <c r="AU38" s="201"/>
      <c r="AV38" s="201"/>
      <c r="AW38" s="201"/>
      <c r="AX38" s="201"/>
      <c r="AY38" s="201"/>
      <c r="AZ38" s="201"/>
      <c r="BA38" s="201"/>
      <c r="BB38" s="201"/>
      <c r="BC38" s="201"/>
      <c r="BD38" s="184"/>
      <c r="BF38" s="186" t="s">
        <v>606</v>
      </c>
      <c r="BG38" s="201"/>
      <c r="BH38" s="201"/>
      <c r="BI38" s="201"/>
      <c r="BJ38" s="201"/>
      <c r="BK38" s="201"/>
      <c r="BL38" s="201"/>
      <c r="BM38" s="201"/>
      <c r="BN38" s="201"/>
      <c r="BO38" s="201"/>
      <c r="BP38" s="201"/>
      <c r="BQ38" s="201"/>
      <c r="BR38" s="184"/>
      <c r="BT38" s="186" t="s">
        <v>606</v>
      </c>
      <c r="BU38" s="201"/>
      <c r="BV38" s="201"/>
      <c r="BW38" s="201"/>
      <c r="BX38" s="201"/>
      <c r="BY38" s="201"/>
      <c r="BZ38" s="201"/>
      <c r="CA38" s="201"/>
      <c r="CB38" s="201"/>
      <c r="CC38" s="201"/>
      <c r="CD38" s="201"/>
      <c r="CE38" s="201"/>
      <c r="CF38" s="184"/>
    </row>
    <row r="39" spans="2:84" ht="18" x14ac:dyDescent="0.25">
      <c r="B39" s="202"/>
      <c r="C39" s="16"/>
      <c r="D39" s="16"/>
      <c r="E39" s="195"/>
      <c r="F39" s="195"/>
      <c r="G39" s="195"/>
      <c r="H39" s="195"/>
      <c r="I39" s="195"/>
      <c r="J39" s="195"/>
      <c r="K39" s="195"/>
      <c r="L39" s="195"/>
      <c r="M39" s="195"/>
      <c r="N39" s="178"/>
      <c r="P39" s="202"/>
      <c r="Q39" s="16"/>
      <c r="R39" s="16"/>
      <c r="S39" s="195"/>
      <c r="T39" s="195"/>
      <c r="U39" s="195"/>
      <c r="V39" s="195"/>
      <c r="W39" s="195"/>
      <c r="X39" s="195"/>
      <c r="Y39" s="195"/>
      <c r="Z39" s="195"/>
      <c r="AA39" s="195"/>
      <c r="AB39" s="178"/>
      <c r="AD39" s="202"/>
      <c r="AE39" s="16"/>
      <c r="AF39" s="16"/>
      <c r="AG39" s="195"/>
      <c r="AH39" s="195"/>
      <c r="AI39" s="195"/>
      <c r="AJ39" s="195"/>
      <c r="AK39" s="195"/>
      <c r="AL39" s="195"/>
      <c r="AM39" s="195"/>
      <c r="AN39" s="195"/>
      <c r="AO39" s="195"/>
      <c r="AP39" s="178"/>
      <c r="AR39" s="202"/>
      <c r="AS39" s="16"/>
      <c r="AT39" s="16"/>
      <c r="AU39" s="195"/>
      <c r="AV39" s="195"/>
      <c r="AW39" s="195"/>
      <c r="AX39" s="195"/>
      <c r="AY39" s="195"/>
      <c r="AZ39" s="195"/>
      <c r="BA39" s="195"/>
      <c r="BB39" s="195"/>
      <c r="BC39" s="195"/>
      <c r="BD39" s="178"/>
      <c r="BF39" s="202"/>
      <c r="BG39" s="16"/>
      <c r="BH39" s="16"/>
      <c r="BI39" s="195"/>
      <c r="BJ39" s="195"/>
      <c r="BK39" s="195"/>
      <c r="BL39" s="195"/>
      <c r="BM39" s="195"/>
      <c r="BN39" s="195"/>
      <c r="BO39" s="195"/>
      <c r="BP39" s="195"/>
      <c r="BQ39" s="195"/>
      <c r="BR39" s="178"/>
      <c r="BT39" s="202"/>
      <c r="BU39" s="16"/>
      <c r="BV39" s="16"/>
      <c r="BW39" s="195"/>
      <c r="BX39" s="195"/>
      <c r="BY39" s="195"/>
      <c r="BZ39" s="195"/>
      <c r="CA39" s="195"/>
      <c r="CB39" s="195"/>
      <c r="CC39" s="195"/>
      <c r="CD39" s="195"/>
      <c r="CE39" s="195"/>
      <c r="CF39" s="178"/>
    </row>
    <row r="40" spans="2:84" x14ac:dyDescent="0.2">
      <c r="B40" s="161" t="str">
        <f>+$D$5</f>
        <v>EUR</v>
      </c>
      <c r="C40" s="4"/>
      <c r="D40" s="8">
        <f>+D26</f>
        <v>2025</v>
      </c>
      <c r="E40" s="8">
        <f t="shared" ref="E40:M40" si="83">+E26</f>
        <v>2026</v>
      </c>
      <c r="F40" s="8">
        <f t="shared" si="83"/>
        <v>2027</v>
      </c>
      <c r="G40" s="8">
        <f t="shared" si="83"/>
        <v>2028</v>
      </c>
      <c r="H40" s="8">
        <f t="shared" si="83"/>
        <v>2029</v>
      </c>
      <c r="I40" s="8">
        <f t="shared" si="83"/>
        <v>2030</v>
      </c>
      <c r="J40" s="8">
        <f t="shared" si="83"/>
        <v>2031</v>
      </c>
      <c r="K40" s="8">
        <f t="shared" si="83"/>
        <v>2032</v>
      </c>
      <c r="L40" s="8">
        <f t="shared" si="83"/>
        <v>2033</v>
      </c>
      <c r="M40" s="8">
        <f t="shared" si="83"/>
        <v>2034</v>
      </c>
      <c r="N40" s="133" t="s">
        <v>34</v>
      </c>
      <c r="P40" s="161" t="str">
        <f>+$D$5</f>
        <v>EUR</v>
      </c>
      <c r="Q40" s="4"/>
      <c r="R40" s="8">
        <f>+R26</f>
        <v>2025</v>
      </c>
      <c r="S40" s="8">
        <f t="shared" ref="S40:AA40" si="84">+S26</f>
        <v>2026</v>
      </c>
      <c r="T40" s="8">
        <f t="shared" si="84"/>
        <v>2027</v>
      </c>
      <c r="U40" s="8">
        <f t="shared" si="84"/>
        <v>2028</v>
      </c>
      <c r="V40" s="8">
        <f t="shared" si="84"/>
        <v>2029</v>
      </c>
      <c r="W40" s="8">
        <f t="shared" si="84"/>
        <v>2030</v>
      </c>
      <c r="X40" s="8">
        <f t="shared" si="84"/>
        <v>2031</v>
      </c>
      <c r="Y40" s="8">
        <f t="shared" si="84"/>
        <v>2032</v>
      </c>
      <c r="Z40" s="8">
        <f t="shared" si="84"/>
        <v>2033</v>
      </c>
      <c r="AA40" s="8">
        <f t="shared" si="84"/>
        <v>2034</v>
      </c>
      <c r="AB40" s="133" t="s">
        <v>34</v>
      </c>
      <c r="AD40" s="161" t="str">
        <f>+$D$5</f>
        <v>EUR</v>
      </c>
      <c r="AE40" s="4"/>
      <c r="AF40" s="8">
        <f>+AF26</f>
        <v>2025</v>
      </c>
      <c r="AG40" s="8">
        <f t="shared" ref="AG40:AO40" si="85">+AG26</f>
        <v>2026</v>
      </c>
      <c r="AH40" s="8">
        <f t="shared" si="85"/>
        <v>2027</v>
      </c>
      <c r="AI40" s="8">
        <f t="shared" si="85"/>
        <v>2028</v>
      </c>
      <c r="AJ40" s="8">
        <f t="shared" si="85"/>
        <v>2029</v>
      </c>
      <c r="AK40" s="8">
        <f t="shared" si="85"/>
        <v>2030</v>
      </c>
      <c r="AL40" s="8">
        <f t="shared" si="85"/>
        <v>2031</v>
      </c>
      <c r="AM40" s="8">
        <f t="shared" si="85"/>
        <v>2032</v>
      </c>
      <c r="AN40" s="8">
        <f t="shared" si="85"/>
        <v>2033</v>
      </c>
      <c r="AO40" s="8">
        <f t="shared" si="85"/>
        <v>2034</v>
      </c>
      <c r="AP40" s="133" t="s">
        <v>34</v>
      </c>
      <c r="AR40" s="161" t="str">
        <f>+$D$5</f>
        <v>EUR</v>
      </c>
      <c r="AS40" s="4"/>
      <c r="AT40" s="8">
        <f>+AT26</f>
        <v>2025</v>
      </c>
      <c r="AU40" s="8">
        <f t="shared" ref="AU40:BC40" si="86">+AU26</f>
        <v>2026</v>
      </c>
      <c r="AV40" s="8">
        <f t="shared" si="86"/>
        <v>2027</v>
      </c>
      <c r="AW40" s="8">
        <f t="shared" si="86"/>
        <v>2028</v>
      </c>
      <c r="AX40" s="8">
        <f t="shared" si="86"/>
        <v>2029</v>
      </c>
      <c r="AY40" s="8">
        <f t="shared" si="86"/>
        <v>2030</v>
      </c>
      <c r="AZ40" s="8">
        <f t="shared" si="86"/>
        <v>2031</v>
      </c>
      <c r="BA40" s="8">
        <f t="shared" si="86"/>
        <v>2032</v>
      </c>
      <c r="BB40" s="8">
        <f t="shared" si="86"/>
        <v>2033</v>
      </c>
      <c r="BC40" s="8">
        <f t="shared" si="86"/>
        <v>2034</v>
      </c>
      <c r="BD40" s="133" t="s">
        <v>34</v>
      </c>
      <c r="BF40" s="161" t="str">
        <f>+$D$5</f>
        <v>EUR</v>
      </c>
      <c r="BG40" s="4"/>
      <c r="BH40" s="8">
        <f>+BH26</f>
        <v>2025</v>
      </c>
      <c r="BI40" s="8">
        <f t="shared" ref="BI40:BQ40" si="87">+BI26</f>
        <v>2026</v>
      </c>
      <c r="BJ40" s="8">
        <f t="shared" si="87"/>
        <v>2027</v>
      </c>
      <c r="BK40" s="8">
        <f t="shared" si="87"/>
        <v>2028</v>
      </c>
      <c r="BL40" s="8">
        <f t="shared" si="87"/>
        <v>2029</v>
      </c>
      <c r="BM40" s="8">
        <f t="shared" si="87"/>
        <v>2030</v>
      </c>
      <c r="BN40" s="8">
        <f t="shared" si="87"/>
        <v>2031</v>
      </c>
      <c r="BO40" s="8">
        <f t="shared" si="87"/>
        <v>2032</v>
      </c>
      <c r="BP40" s="8">
        <f t="shared" si="87"/>
        <v>2033</v>
      </c>
      <c r="BQ40" s="8">
        <f t="shared" si="87"/>
        <v>2034</v>
      </c>
      <c r="BR40" s="133" t="s">
        <v>34</v>
      </c>
      <c r="BT40" s="161" t="str">
        <f>+$D$5</f>
        <v>EUR</v>
      </c>
      <c r="BU40" s="4"/>
      <c r="BV40" s="8">
        <f>+BV26</f>
        <v>2025</v>
      </c>
      <c r="BW40" s="8">
        <f t="shared" ref="BW40:CE40" si="88">+BW26</f>
        <v>2026</v>
      </c>
      <c r="BX40" s="8">
        <f t="shared" si="88"/>
        <v>2027</v>
      </c>
      <c r="BY40" s="8">
        <f t="shared" si="88"/>
        <v>2028</v>
      </c>
      <c r="BZ40" s="8">
        <f t="shared" si="88"/>
        <v>2029</v>
      </c>
      <c r="CA40" s="8">
        <f t="shared" si="88"/>
        <v>2030</v>
      </c>
      <c r="CB40" s="8">
        <f t="shared" si="88"/>
        <v>2031</v>
      </c>
      <c r="CC40" s="8">
        <f t="shared" si="88"/>
        <v>2032</v>
      </c>
      <c r="CD40" s="8">
        <f t="shared" si="88"/>
        <v>2033</v>
      </c>
      <c r="CE40" s="8">
        <f t="shared" si="88"/>
        <v>2034</v>
      </c>
      <c r="CF40" s="133" t="s">
        <v>34</v>
      </c>
    </row>
    <row r="41" spans="2:84" x14ac:dyDescent="0.2">
      <c r="B41" s="189" t="s">
        <v>74</v>
      </c>
      <c r="C41" s="120"/>
      <c r="D41" s="28">
        <f>IFERROR((Total!D34/(VLOOKUP(D5,Currency!$A$2:$D$33,3,FALSE))*100),0)</f>
        <v>0</v>
      </c>
      <c r="E41" s="120">
        <f>IFERROR((Total!E34/(VLOOKUP(D5,Currency!$A$2:$D$33,3,FALSE))*100),0)</f>
        <v>0</v>
      </c>
      <c r="F41" s="28">
        <f>IFERROR((Total!F34/(VLOOKUP(D5,Currency!$A$2:$D$33,3,FALSE))*100),0)</f>
        <v>0</v>
      </c>
      <c r="G41" s="120">
        <f>IFERROR((Total!G34/(VLOOKUP(D5,Currency!$A$2:$D$33,3,FALSE))*100),0)</f>
        <v>0</v>
      </c>
      <c r="H41" s="28">
        <f>IFERROR((Total!H34/(VLOOKUP(D5,Currency!$A$2:$D$33,3,FALSE))*100),0)</f>
        <v>0</v>
      </c>
      <c r="I41" s="120">
        <f>IFERROR((Total!I34/(VLOOKUP(D5,Currency!$A$2:$D$33,3,FALSE))*100),0)</f>
        <v>0</v>
      </c>
      <c r="J41" s="28">
        <f>IFERROR((Total!J34/(VLOOKUP(D5,Currency!$A$2:$D$33,3,FALSE))*100),0)</f>
        <v>0</v>
      </c>
      <c r="K41" s="28">
        <f>IFERROR((Total!K34/(VLOOKUP(D5,Currency!$A$2:$D$33,3,FALSE))*100),0)</f>
        <v>0</v>
      </c>
      <c r="L41" s="120">
        <f>IFERROR((Total!L34/(VLOOKUP(D5,Currency!$A$2:$D$33,3,FALSE))*100),0)</f>
        <v>0</v>
      </c>
      <c r="M41" s="120">
        <f>IFERROR((Total!M34/(VLOOKUP(D5,Currency!$A$2:$D$33,3,FALSE))*100),0)</f>
        <v>0</v>
      </c>
      <c r="N41" s="179">
        <f>SUM(D41:K41)</f>
        <v>0</v>
      </c>
      <c r="P41" s="189" t="s">
        <v>74</v>
      </c>
      <c r="Q41" s="120"/>
      <c r="R41" s="28">
        <f>IFERROR(('B1'!S84/(VLOOKUP(D5,Currency!$A$2:$D$33,3,FALSE))*100),0)</f>
        <v>0</v>
      </c>
      <c r="S41" s="120">
        <f>IFERROR(('B1'!T84/(VLOOKUP(D5,Currency!$A$2:$D$33,3,FALSE))*100),0)</f>
        <v>0</v>
      </c>
      <c r="T41" s="28">
        <f>IFERROR(('B1'!U84/(VLOOKUP(D5,Currency!$A$2:$D$33,3,FALSE))*100),0)</f>
        <v>0</v>
      </c>
      <c r="U41" s="120">
        <f>IFERROR(('B1'!V84/(VLOOKUP(D5,Currency!$A$2:$D$33,3,FALSE))*100),0)</f>
        <v>0</v>
      </c>
      <c r="V41" s="28">
        <f>IFERROR(('B1'!W84/(VLOOKUP(D5,Currency!$A$2:$D$33,3,FALSE))*100),0)</f>
        <v>0</v>
      </c>
      <c r="W41" s="120">
        <f>IFERROR(('B1'!X84/(VLOOKUP(D5,Currency!$A$2:$D$33,3,FALSE))*100),0)</f>
        <v>0</v>
      </c>
      <c r="X41" s="28">
        <f>IFERROR(('B1'!Y84/(VLOOKUP(D5,Currency!$A$2:$D$33,3,FALSE))*100),0)</f>
        <v>0</v>
      </c>
      <c r="Y41" s="28">
        <f>IFERROR(('B1'!Z84/(VLOOKUP(D5,Currency!$A$2:$D$33,3,FALSE))*100),0)</f>
        <v>0</v>
      </c>
      <c r="Z41" s="120">
        <f>IFERROR(('B1'!AA84/(VLOOKUP(D5,Currency!$A$2:$D$33,3,FALSE))*100),0)</f>
        <v>0</v>
      </c>
      <c r="AA41" s="120">
        <f>IFERROR(('B1'!AB84/(VLOOKUP(D5,Currency!$A$2:$D$33,3,FALSE))*100),0)</f>
        <v>0</v>
      </c>
      <c r="AB41" s="179">
        <f>SUM(R41:Y41)</f>
        <v>0</v>
      </c>
      <c r="AD41" s="189" t="s">
        <v>74</v>
      </c>
      <c r="AE41" s="120"/>
      <c r="AF41" s="28">
        <f>IFERROR(('B2'!S84/(VLOOKUP(D5,Currency!$A$2:$D$33,3,FALSE))*100),0)</f>
        <v>0</v>
      </c>
      <c r="AG41" s="120">
        <f>IFERROR(('B2'!T84/(VLOOKUP(D5,Currency!$A$2:$D$33,3,FALSE))*100),0)</f>
        <v>0</v>
      </c>
      <c r="AH41" s="28">
        <f>IFERROR(('B2'!U84/(VLOOKUP(D5,Currency!$A$2:$D$33,3,FALSE))*100),0)</f>
        <v>0</v>
      </c>
      <c r="AI41" s="120">
        <f>IFERROR(('B2'!V84/(VLOOKUP(D5,Currency!$A$2:$D$33,3,FALSE))*100),0)</f>
        <v>0</v>
      </c>
      <c r="AJ41" s="28">
        <f>IFERROR(('B2'!W84/(VLOOKUP(D5,Currency!$A$2:$D$33,3,FALSE))*100),0)</f>
        <v>0</v>
      </c>
      <c r="AK41" s="120">
        <f>IFERROR(('B2'!X84/(VLOOKUP(D5,Currency!$A$2:$D$33,3,FALSE))*100),0)</f>
        <v>0</v>
      </c>
      <c r="AL41" s="28">
        <f>IFERROR(('B2'!Y84/(VLOOKUP(D5,Currency!$A$2:$D$33,3,FALSE))*100),0)</f>
        <v>0</v>
      </c>
      <c r="AM41" s="28">
        <f>IFERROR(('B2'!Z84/(VLOOKUP(D5,Currency!$A$2:$D$33,3,FALSE))*100),0)</f>
        <v>0</v>
      </c>
      <c r="AN41" s="120">
        <f>IFERROR(('B2'!AA84/(VLOOKUP(D5,Currency!$A$2:$D$33,3,FALSE))*100),0)</f>
        <v>0</v>
      </c>
      <c r="AO41" s="120">
        <f>IFERROR(('B2'!AB84/(VLOOKUP(D5,Currency!$A$2:$D$33,3,FALSE))*100),0)</f>
        <v>0</v>
      </c>
      <c r="AP41" s="179">
        <f>SUM(AF41:AM41)</f>
        <v>0</v>
      </c>
      <c r="AR41" s="189" t="s">
        <v>74</v>
      </c>
      <c r="AS41" s="120"/>
      <c r="AT41" s="28">
        <f>IFERROR(('B3'!S84/(VLOOKUP(D5,Currency!$A$2:$D$33,3,FALSE))*100),0)</f>
        <v>0</v>
      </c>
      <c r="AU41" s="120">
        <f>IFERROR(('B3'!T84/(VLOOKUP(D5,Currency!$A$2:$D$33,3,FALSE))*100),0)</f>
        <v>0</v>
      </c>
      <c r="AV41" s="28">
        <f>IFERROR(('B3'!U84/(VLOOKUP(D5,Currency!$A$2:$D$33,3,FALSE))*100),0)</f>
        <v>0</v>
      </c>
      <c r="AW41" s="120">
        <f>IFERROR(('B3'!V84/(VLOOKUP(D5,Currency!$A$2:$D$33,3,FALSE))*100),0)</f>
        <v>0</v>
      </c>
      <c r="AX41" s="28">
        <f>IFERROR(('B3'!W84/(VLOOKUP(D5,Currency!$A$2:$D$33,3,FALSE))*100),0)</f>
        <v>0</v>
      </c>
      <c r="AY41" s="120">
        <f>IFERROR(('B3'!X84/(VLOOKUP(D5,Currency!$A$2:$D$33,3,FALSE))*100),0)</f>
        <v>0</v>
      </c>
      <c r="AZ41" s="28">
        <f>IFERROR(('B3'!Y84/(VLOOKUP(D5,Currency!$A$2:$D$33,3,FALSE))*100),0)</f>
        <v>0</v>
      </c>
      <c r="BA41" s="28">
        <f>IFERROR(('B3'!Z84/(VLOOKUP(D5,Currency!$A$2:$D$33,3,FALSE))*100),0)</f>
        <v>0</v>
      </c>
      <c r="BB41" s="120">
        <f>IFERROR(('B3'!AA84/(VLOOKUP(D5,Currency!$A$2:$D$33,3,FALSE))*100),0)</f>
        <v>0</v>
      </c>
      <c r="BC41" s="120">
        <f>IFERROR(('B3'!AB84/(VLOOKUP(D5,Currency!$A$2:$D$33,3,FALSE))*100),0)</f>
        <v>0</v>
      </c>
      <c r="BD41" s="179">
        <f>SUM(AT41:BA41)</f>
        <v>0</v>
      </c>
      <c r="BF41" s="189" t="s">
        <v>74</v>
      </c>
      <c r="BG41" s="120"/>
      <c r="BH41" s="28">
        <f>IFERROR(('B4'!S84/(VLOOKUP(D5,Currency!$A$2:$D$33,3,FALSE))*100),0)</f>
        <v>0</v>
      </c>
      <c r="BI41" s="120">
        <f>IFERROR(('B4'!T84/(VLOOKUP(D5,Currency!$A$2:$D$33,3,FALSE))*100),0)</f>
        <v>0</v>
      </c>
      <c r="BJ41" s="28">
        <f>IFERROR(('B4'!U84/(VLOOKUP(D5,Currency!$A$2:$D$33,3,FALSE))*100),0)</f>
        <v>0</v>
      </c>
      <c r="BK41" s="120">
        <f>IFERROR(('B4'!V84/(VLOOKUP(D5,Currency!$A$2:$D$33,3,FALSE))*100),0)</f>
        <v>0</v>
      </c>
      <c r="BL41" s="28">
        <f>IFERROR(('B4'!W84/(VLOOKUP(D5,Currency!$A$2:$D$33,3,FALSE))*100),0)</f>
        <v>0</v>
      </c>
      <c r="BM41" s="120">
        <f>IFERROR(('B4'!X84/(VLOOKUP(D5,Currency!$A$2:$D$33,3,FALSE))*100),0)</f>
        <v>0</v>
      </c>
      <c r="BN41" s="28">
        <f>IFERROR(('B4'!Y84/(VLOOKUP(D5,Currency!$A$2:$D$33,3,FALSE))*100),0)</f>
        <v>0</v>
      </c>
      <c r="BO41" s="28">
        <f>IFERROR(('B4'!Z84/(VLOOKUP(D5,Currency!$A$2:$D$33,3,FALSE))*100),0)</f>
        <v>0</v>
      </c>
      <c r="BP41" s="120">
        <f>IFERROR(('B4'!AA84/(VLOOKUP(D5,Currency!$A$2:$D$33,3,FALSE))*100),0)</f>
        <v>0</v>
      </c>
      <c r="BQ41" s="120">
        <f>IFERROR(('B4'!AB84/(VLOOKUP(D5,Currency!$A$2:$D$33,3,FALSE))*100),0)</f>
        <v>0</v>
      </c>
      <c r="BR41" s="179">
        <f>SUM(BH41:BO41)</f>
        <v>0</v>
      </c>
      <c r="BT41" s="189" t="s">
        <v>74</v>
      </c>
      <c r="BU41" s="120"/>
      <c r="BV41" s="28">
        <f>IFERROR(('B5'!S84/(VLOOKUP(D5,Currency!$A$2:$D$33,3,FALSE))*100),0)</f>
        <v>0</v>
      </c>
      <c r="BW41" s="120">
        <f>IFERROR(('B5'!T84/(VLOOKUP(D5,Currency!$A$2:$D$33,3,FALSE))*100),0)</f>
        <v>0</v>
      </c>
      <c r="BX41" s="28">
        <f>IFERROR(('B5'!U84/(VLOOKUP(D5,Currency!$A$2:$D$33,3,FALSE))*100),0)</f>
        <v>0</v>
      </c>
      <c r="BY41" s="120">
        <f>IFERROR(('B5'!V84/(VLOOKUP(D5,Currency!$A$2:$D$33,3,FALSE))*100),0)</f>
        <v>0</v>
      </c>
      <c r="BZ41" s="28">
        <f>IFERROR(('B5'!W84/(VLOOKUP(D5,Currency!$A$2:$D$33,3,FALSE))*100),0)</f>
        <v>0</v>
      </c>
      <c r="CA41" s="120">
        <f>IFERROR(('B5'!X84/(VLOOKUP(D5,Currency!$A$2:$D$33,3,FALSE))*100),0)</f>
        <v>0</v>
      </c>
      <c r="CB41" s="28">
        <f>IFERROR(('B5'!Y84/(VLOOKUP(D5,Currency!$A$2:$D$33,3,FALSE))*100),0)</f>
        <v>0</v>
      </c>
      <c r="CC41" s="28">
        <f>IFERROR(('B5'!Z84/(VLOOKUP(D5,Currency!$A$2:$D$33,3,FALSE))*100),0)</f>
        <v>0</v>
      </c>
      <c r="CD41" s="120">
        <f>IFERROR(('B5'!AA84/(VLOOKUP(D5,Currency!$A$2:$D$33,3,FALSE))*100),0)</f>
        <v>0</v>
      </c>
      <c r="CE41" s="120">
        <f>IFERROR(('B5'!AB84/(VLOOKUP(D5,Currency!$A$2:$D$33,3,FALSE))*100),0)</f>
        <v>0</v>
      </c>
      <c r="CF41" s="179">
        <f>SUM(BV41:CC41)</f>
        <v>0</v>
      </c>
    </row>
    <row r="42" spans="2:84" x14ac:dyDescent="0.2">
      <c r="B42" s="161" t="s">
        <v>75</v>
      </c>
      <c r="C42" s="121"/>
      <c r="D42" s="122">
        <f>IFERROR((Total!D35/(VLOOKUP(D5,Currency!$A$2:$D$33,3,FALSE))*100),0)</f>
        <v>0</v>
      </c>
      <c r="E42" s="121">
        <f>IFERROR((Total!E35/(VLOOKUP(D5,Currency!$A$2:$D$33,3,FALSE))*100),0)</f>
        <v>0</v>
      </c>
      <c r="F42" s="122">
        <f>IFERROR((Total!F35/(VLOOKUP(D5,Currency!$A$2:$D$33,3,FALSE))*100),0)</f>
        <v>0</v>
      </c>
      <c r="G42" s="121">
        <f>IFERROR((Total!G35/(VLOOKUP(D5,Currency!$A$2:$D$33,3,FALSE))*100),0)</f>
        <v>0</v>
      </c>
      <c r="H42" s="122">
        <f>IFERROR((Total!H35/(VLOOKUP(D5,Currency!$A$2:$D$33,3,FALSE))*100),0)</f>
        <v>0</v>
      </c>
      <c r="I42" s="121">
        <f>IFERROR((Total!I35/(VLOOKUP(D5,Currency!$A$2:$D$33,3,FALSE))*100),0)</f>
        <v>0</v>
      </c>
      <c r="J42" s="122">
        <f>IFERROR((Total!J35/(VLOOKUP(D5,Currency!$A$2:$D$33,3,FALSE))*100),0)</f>
        <v>0</v>
      </c>
      <c r="K42" s="122">
        <f>IFERROR((Total!K35/(VLOOKUP(D5,Currency!$A$2:$D$33,3,FALSE))*100),0)</f>
        <v>0</v>
      </c>
      <c r="L42" s="121">
        <f>IFERROR((Total!L35/(VLOOKUP(D5,Currency!$A$2:$D$33,3,FALSE))*100),0)</f>
        <v>0</v>
      </c>
      <c r="M42" s="121">
        <f>IFERROR((Total!M35/(VLOOKUP(D5,Currency!$A$2:$D$33,3,FALSE))*100),0)</f>
        <v>0</v>
      </c>
      <c r="N42" s="180">
        <f t="shared" ref="N42:N50" si="89">SUM(D42:K42)</f>
        <v>0</v>
      </c>
      <c r="P42" s="161" t="s">
        <v>75</v>
      </c>
      <c r="Q42" s="121"/>
      <c r="R42" s="122">
        <f>IFERROR(('B1'!S85/(VLOOKUP(D5,Currency!$A$2:$D$33,3,FALSE))*100),0)</f>
        <v>0</v>
      </c>
      <c r="S42" s="121">
        <f>IFERROR(('B1'!T85/(VLOOKUP(D5,Currency!$A$2:$D$33,3,FALSE))*100),0)</f>
        <v>0</v>
      </c>
      <c r="T42" s="122">
        <f>IFERROR(('B1'!U85/(VLOOKUP(D5,Currency!$A$2:$D$33,3,FALSE))*100),0)</f>
        <v>0</v>
      </c>
      <c r="U42" s="121">
        <f>IFERROR(('B1'!V85/(VLOOKUP(D5,Currency!$A$2:$D$33,3,FALSE))*100),0)</f>
        <v>0</v>
      </c>
      <c r="V42" s="122">
        <f>IFERROR(('B1'!W85/(VLOOKUP(D5,Currency!$A$2:$D$33,3,FALSE))*100),0)</f>
        <v>0</v>
      </c>
      <c r="W42" s="121">
        <f>IFERROR(('B1'!X85/(VLOOKUP(D5,Currency!$A$2:$D$33,3,FALSE))*100),0)</f>
        <v>0</v>
      </c>
      <c r="X42" s="122">
        <f>IFERROR(('B1'!Y85/(VLOOKUP(D5,Currency!$A$2:$D$33,3,FALSE))*100),0)</f>
        <v>0</v>
      </c>
      <c r="Y42" s="122">
        <f>IFERROR(('B1'!Z85/(VLOOKUP(D5,Currency!$A$2:$D$33,3,FALSE))*100),0)</f>
        <v>0</v>
      </c>
      <c r="Z42" s="121">
        <f>IFERROR(('B1'!AA85/(VLOOKUP(D5,Currency!$A$2:$D$33,3,FALSE))*100),0)</f>
        <v>0</v>
      </c>
      <c r="AA42" s="121">
        <f>IFERROR(('B1'!AB85/(VLOOKUP(D5,Currency!$A$2:$D$33,3,FALSE))*100),0)</f>
        <v>0</v>
      </c>
      <c r="AB42" s="180">
        <f t="shared" ref="AB42:AB50" si="90">SUM(R42:Y42)</f>
        <v>0</v>
      </c>
      <c r="AD42" s="161" t="s">
        <v>75</v>
      </c>
      <c r="AE42" s="121"/>
      <c r="AF42" s="122">
        <f>IFERROR(('B2'!S85/(VLOOKUP(D5,Currency!$A$2:$D$33,3,FALSE))*100),0)</f>
        <v>0</v>
      </c>
      <c r="AG42" s="121">
        <f>IFERROR(('B2'!T85/(VLOOKUP(D5,Currency!$A$2:$D$33,3,FALSE))*100),0)</f>
        <v>0</v>
      </c>
      <c r="AH42" s="122">
        <f>IFERROR(('B2'!U85/(VLOOKUP(D5,Currency!$A$2:$D$33,3,FALSE))*100),0)</f>
        <v>0</v>
      </c>
      <c r="AI42" s="121">
        <f>IFERROR(('B2'!V85/(VLOOKUP(D5,Currency!$A$2:$D$33,3,FALSE))*100),0)</f>
        <v>0</v>
      </c>
      <c r="AJ42" s="122">
        <f>IFERROR(('B2'!W85/(VLOOKUP(D5,Currency!$A$2:$D$33,3,FALSE))*100),0)</f>
        <v>0</v>
      </c>
      <c r="AK42" s="121">
        <f>IFERROR(('B2'!X85/(VLOOKUP(D5,Currency!$A$2:$D$33,3,FALSE))*100),0)</f>
        <v>0</v>
      </c>
      <c r="AL42" s="122">
        <f>IFERROR(('B2'!Y85/(VLOOKUP(D5,Currency!$A$2:$D$33,3,FALSE))*100),0)</f>
        <v>0</v>
      </c>
      <c r="AM42" s="122">
        <f>IFERROR(('B2'!Z85/(VLOOKUP(D5,Currency!$A$2:$D$33,3,FALSE))*100),0)</f>
        <v>0</v>
      </c>
      <c r="AN42" s="121">
        <f>IFERROR(('B2'!AA85/(VLOOKUP(D5,Currency!$A$2:$D$33,3,FALSE))*100),0)</f>
        <v>0</v>
      </c>
      <c r="AO42" s="121">
        <f>IFERROR(('B2'!AB85/(VLOOKUP(D5,Currency!$A$2:$D$33,3,FALSE))*100),0)</f>
        <v>0</v>
      </c>
      <c r="AP42" s="180">
        <f t="shared" ref="AP42:AP50" si="91">SUM(AF42:AM42)</f>
        <v>0</v>
      </c>
      <c r="AR42" s="161" t="s">
        <v>75</v>
      </c>
      <c r="AS42" s="121"/>
      <c r="AT42" s="122">
        <f>IFERROR(('B3'!S85/(VLOOKUP(D5,Currency!$A$2:$D$33,3,FALSE))*100),0)</f>
        <v>0</v>
      </c>
      <c r="AU42" s="121">
        <f>IFERROR(('B3'!T85/(VLOOKUP(D5,Currency!$A$2:$D$33,3,FALSE))*100),0)</f>
        <v>0</v>
      </c>
      <c r="AV42" s="122">
        <f>IFERROR(('B3'!U85/(VLOOKUP(D5,Currency!$A$2:$D$33,3,FALSE))*100),0)</f>
        <v>0</v>
      </c>
      <c r="AW42" s="121">
        <f>IFERROR(('B3'!V85/(VLOOKUP(D5,Currency!$A$2:$D$33,3,FALSE))*100),0)</f>
        <v>0</v>
      </c>
      <c r="AX42" s="122">
        <f>IFERROR(('B3'!W85/(VLOOKUP(D5,Currency!$A$2:$D$33,3,FALSE))*100),0)</f>
        <v>0</v>
      </c>
      <c r="AY42" s="121">
        <f>IFERROR(('B3'!X85/(VLOOKUP(D5,Currency!$A$2:$D$33,3,FALSE))*100),0)</f>
        <v>0</v>
      </c>
      <c r="AZ42" s="122">
        <f>IFERROR(('B3'!Y85/(VLOOKUP(D5,Currency!$A$2:$D$33,3,FALSE))*100),0)</f>
        <v>0</v>
      </c>
      <c r="BA42" s="122">
        <f>IFERROR(('B3'!Z85/(VLOOKUP(D5,Currency!$A$2:$D$33,3,FALSE))*100),0)</f>
        <v>0</v>
      </c>
      <c r="BB42" s="121">
        <f>IFERROR(('B3'!AA85/(VLOOKUP(D5,Currency!$A$2:$D$33,3,FALSE))*100),0)</f>
        <v>0</v>
      </c>
      <c r="BC42" s="121">
        <f>IFERROR(('B3'!AB85/(VLOOKUP(D5,Currency!$A$2:$D$33,3,FALSE))*100),0)</f>
        <v>0</v>
      </c>
      <c r="BD42" s="180">
        <f t="shared" ref="BD42:BD50" si="92">SUM(AT42:BA42)</f>
        <v>0</v>
      </c>
      <c r="BF42" s="161" t="s">
        <v>75</v>
      </c>
      <c r="BG42" s="121"/>
      <c r="BH42" s="122">
        <f>IFERROR(('B4'!S85/(VLOOKUP(D5,Currency!$A$2:$D$33,3,FALSE))*100),0)</f>
        <v>0</v>
      </c>
      <c r="BI42" s="121">
        <f>IFERROR(('B4'!T85/(VLOOKUP(D5,Currency!$A$2:$D$33,3,FALSE))*100),0)</f>
        <v>0</v>
      </c>
      <c r="BJ42" s="122">
        <f>IFERROR(('B4'!U85/(VLOOKUP(D5,Currency!$A$2:$D$33,3,FALSE))*100),0)</f>
        <v>0</v>
      </c>
      <c r="BK42" s="121">
        <f>IFERROR(('B4'!V85/(VLOOKUP(D5,Currency!$A$2:$D$33,3,FALSE))*100),0)</f>
        <v>0</v>
      </c>
      <c r="BL42" s="122">
        <f>IFERROR(('B4'!W85/(VLOOKUP(D5,Currency!$A$2:$D$33,3,FALSE))*100),0)</f>
        <v>0</v>
      </c>
      <c r="BM42" s="121">
        <f>IFERROR(('B4'!X85/(VLOOKUP(D5,Currency!$A$2:$D$33,3,FALSE))*100),0)</f>
        <v>0</v>
      </c>
      <c r="BN42" s="122">
        <f>IFERROR(('B4'!Y85/(VLOOKUP(D5,Currency!$A$2:$D$33,3,FALSE))*100),0)</f>
        <v>0</v>
      </c>
      <c r="BO42" s="122">
        <f>IFERROR(('B4'!Z85/(VLOOKUP(D5,Currency!$A$2:$D$33,3,FALSE))*100),0)</f>
        <v>0</v>
      </c>
      <c r="BP42" s="121">
        <f>IFERROR(('B4'!AA85/(VLOOKUP(D5,Currency!$A$2:$D$33,3,FALSE))*100),0)</f>
        <v>0</v>
      </c>
      <c r="BQ42" s="121">
        <f>IFERROR(('B4'!AB85/(VLOOKUP(D5,Currency!$A$2:$D$33,3,FALSE))*100),0)</f>
        <v>0</v>
      </c>
      <c r="BR42" s="180">
        <f t="shared" ref="BR42:BR50" si="93">SUM(BH42:BO42)</f>
        <v>0</v>
      </c>
      <c r="BT42" s="161" t="s">
        <v>75</v>
      </c>
      <c r="BU42" s="121"/>
      <c r="BV42" s="122">
        <f>IFERROR(('B5'!S85/(VLOOKUP(D5,Currency!$A$2:$D$33,3,FALSE))*100),0)</f>
        <v>0</v>
      </c>
      <c r="BW42" s="121">
        <f>IFERROR(('B5'!T85/(VLOOKUP(D5,Currency!$A$2:$D$33,3,FALSE))*100),0)</f>
        <v>0</v>
      </c>
      <c r="BX42" s="122">
        <f>IFERROR(('B5'!U85/(VLOOKUP(D5,Currency!$A$2:$D$33,3,FALSE))*100),0)</f>
        <v>0</v>
      </c>
      <c r="BY42" s="121">
        <f>IFERROR(('B5'!V85/(VLOOKUP(D5,Currency!$A$2:$D$33,3,FALSE))*100),0)</f>
        <v>0</v>
      </c>
      <c r="BZ42" s="122">
        <f>IFERROR(('B5'!W85/(VLOOKUP(D5,Currency!$A$2:$D$33,3,FALSE))*100),0)</f>
        <v>0</v>
      </c>
      <c r="CA42" s="121">
        <f>IFERROR(('B5'!X85/(VLOOKUP(D5,Currency!$A$2:$D$33,3,FALSE))*100),0)</f>
        <v>0</v>
      </c>
      <c r="CB42" s="122">
        <f>IFERROR(('B5'!Y85/(VLOOKUP(D5,Currency!$A$2:$D$33,3,FALSE))*100),0)</f>
        <v>0</v>
      </c>
      <c r="CC42" s="122">
        <f>IFERROR(('B5'!Z85/(VLOOKUP(D5,Currency!$A$2:$D$33,3,FALSE))*100),0)</f>
        <v>0</v>
      </c>
      <c r="CD42" s="121">
        <f>IFERROR(('B5'!AA85/(VLOOKUP(D5,Currency!$A$2:$D$33,3,FALSE))*100),0)</f>
        <v>0</v>
      </c>
      <c r="CE42" s="121">
        <f>IFERROR(('B5'!AB85/(VLOOKUP(D5,Currency!$A$2:$D$33,3,FALSE))*100),0)</f>
        <v>0</v>
      </c>
      <c r="CF42" s="180">
        <f t="shared" ref="CF42:CF50" si="94">SUM(BV42:CC42)</f>
        <v>0</v>
      </c>
    </row>
    <row r="43" spans="2:84" x14ac:dyDescent="0.2">
      <c r="B43" s="190" t="s">
        <v>76</v>
      </c>
      <c r="C43" s="151"/>
      <c r="D43" s="146">
        <f>IFERROR((Total!D36/(VLOOKUP(D5,Currency!$A$2:$D$33,3,FALSE))*100),0)</f>
        <v>0</v>
      </c>
      <c r="E43" s="146">
        <f>IFERROR((Total!E36/(VLOOKUP(D5,Currency!$A$2:$D$33,3,FALSE))*100),0)</f>
        <v>0</v>
      </c>
      <c r="F43" s="146">
        <f>IFERROR((Total!F36/(VLOOKUP(D5,Currency!$A$2:$D$33,3,FALSE))*100),0)</f>
        <v>0</v>
      </c>
      <c r="G43" s="146">
        <f>IFERROR((Total!G36/(VLOOKUP(D5,Currency!$A$2:$D$33,3,FALSE))*100),0)</f>
        <v>0</v>
      </c>
      <c r="H43" s="146">
        <f>IFERROR((Total!H36/(VLOOKUP(D5,Currency!$A$2:$D$33,3,FALSE))*100),0)</f>
        <v>0</v>
      </c>
      <c r="I43" s="146">
        <f>IFERROR((Total!I36/(VLOOKUP(D5,Currency!$A$2:$D$33,3,FALSE))*100),0)</f>
        <v>0</v>
      </c>
      <c r="J43" s="151">
        <f>IFERROR((Total!J36/(VLOOKUP(D5,Currency!$A$2:$D$33,3,FALSE))*100),0)</f>
        <v>0</v>
      </c>
      <c r="K43" s="146">
        <f>IFERROR((Total!K36/(VLOOKUP(D5,Currency!$A$2:$D$33,3,FALSE))*100),0)</f>
        <v>0</v>
      </c>
      <c r="L43" s="151">
        <f>IFERROR((Total!L36/(VLOOKUP(D5,Currency!$A$2:$D$33,3,FALSE))*100),0)</f>
        <v>0</v>
      </c>
      <c r="M43" s="151">
        <f>IFERROR((Total!M36/(VLOOKUP(D5,Currency!$A$2:$D$33,3,FALSE))*100),0)</f>
        <v>0</v>
      </c>
      <c r="N43" s="181">
        <f t="shared" si="89"/>
        <v>0</v>
      </c>
      <c r="P43" s="190" t="s">
        <v>76</v>
      </c>
      <c r="Q43" s="151"/>
      <c r="R43" s="146">
        <f>IFERROR(('B1'!S86/(VLOOKUP(D5,Currency!$A$2:$D$33,3,FALSE))*100),0)</f>
        <v>0</v>
      </c>
      <c r="S43" s="146">
        <f>IFERROR(('B1'!T86/(VLOOKUP(D5,Currency!$A$2:$D$33,3,FALSE))*100),0)</f>
        <v>0</v>
      </c>
      <c r="T43" s="146">
        <f>IFERROR(('B1'!U86/(VLOOKUP(D5,Currency!$A$2:$D$33,3,FALSE))*100),0)</f>
        <v>0</v>
      </c>
      <c r="U43" s="146">
        <f>IFERROR(('B1'!V86/(VLOOKUP(D5,Currency!$A$2:$D$33,3,FALSE))*100),0)</f>
        <v>0</v>
      </c>
      <c r="V43" s="146">
        <f>IFERROR(('B1'!W86/(VLOOKUP(D5,Currency!$A$2:$D$33,3,FALSE))*100),0)</f>
        <v>0</v>
      </c>
      <c r="W43" s="146">
        <f>IFERROR(('B1'!X86/(VLOOKUP(D5,Currency!$A$2:$D$33,3,FALSE))*100),0)</f>
        <v>0</v>
      </c>
      <c r="X43" s="151">
        <f>IFERROR(('B1'!Y86/(VLOOKUP(D5,Currency!$A$2:$D$33,3,FALSE))*100),0)</f>
        <v>0</v>
      </c>
      <c r="Y43" s="146">
        <f>IFERROR(('B1'!Z86/(VLOOKUP(D5,Currency!$A$2:$D$33,3,FALSE))*100),0)</f>
        <v>0</v>
      </c>
      <c r="Z43" s="151">
        <f>IFERROR(('B1'!AA86/(VLOOKUP(D5,Currency!$A$2:$D$33,3,FALSE))*100),0)</f>
        <v>0</v>
      </c>
      <c r="AA43" s="151">
        <f>IFERROR(('B1'!AB86/(VLOOKUP(D5,Currency!$A$2:$D$33,3,FALSE))*100),0)</f>
        <v>0</v>
      </c>
      <c r="AB43" s="181">
        <f t="shared" si="90"/>
        <v>0</v>
      </c>
      <c r="AD43" s="190" t="s">
        <v>76</v>
      </c>
      <c r="AE43" s="151"/>
      <c r="AF43" s="146">
        <f>IFERROR(('B2'!S86/(VLOOKUP(D5,Currency!$A$2:$D$33,3,FALSE))*100),0)</f>
        <v>0</v>
      </c>
      <c r="AG43" s="146">
        <f>IFERROR(('B2'!T86/(VLOOKUP(D5,Currency!$A$2:$D$33,3,FALSE))*100),0)</f>
        <v>0</v>
      </c>
      <c r="AH43" s="146">
        <f>IFERROR(('B2'!U86/(VLOOKUP(D5,Currency!$A$2:$D$33,3,FALSE))*100),0)</f>
        <v>0</v>
      </c>
      <c r="AI43" s="146">
        <f>IFERROR(('B2'!V86/(VLOOKUP(D5,Currency!$A$2:$D$33,3,FALSE))*100),0)</f>
        <v>0</v>
      </c>
      <c r="AJ43" s="146">
        <f>IFERROR(('B2'!W86/(VLOOKUP(D5,Currency!$A$2:$D$33,3,FALSE))*100),0)</f>
        <v>0</v>
      </c>
      <c r="AK43" s="146">
        <f>IFERROR(('B2'!X86/(VLOOKUP(D5,Currency!$A$2:$D$33,3,FALSE))*100),0)</f>
        <v>0</v>
      </c>
      <c r="AL43" s="151">
        <f>IFERROR(('B2'!Y86/(VLOOKUP(D5,Currency!$A$2:$D$33,3,FALSE))*100),0)</f>
        <v>0</v>
      </c>
      <c r="AM43" s="146">
        <f>IFERROR(('B2'!Z86/(VLOOKUP(D5,Currency!$A$2:$D$33,3,FALSE))*100),0)</f>
        <v>0</v>
      </c>
      <c r="AN43" s="151">
        <f>IFERROR(('B2'!AA86/(VLOOKUP(D5,Currency!$A$2:$D$33,3,FALSE))*100),0)</f>
        <v>0</v>
      </c>
      <c r="AO43" s="151">
        <f>IFERROR(('B2'!AB86/(VLOOKUP(D5,Currency!$A$2:$D$33,3,FALSE))*100),0)</f>
        <v>0</v>
      </c>
      <c r="AP43" s="181">
        <f t="shared" si="91"/>
        <v>0</v>
      </c>
      <c r="AR43" s="190" t="s">
        <v>76</v>
      </c>
      <c r="AS43" s="151"/>
      <c r="AT43" s="146">
        <f>IFERROR(('B3'!S86/(VLOOKUP(D5,Currency!$A$2:$D$33,3,FALSE))*100),0)</f>
        <v>0</v>
      </c>
      <c r="AU43" s="146">
        <f>IFERROR(('B3'!T86/(VLOOKUP(D5,Currency!$A$2:$D$33,3,FALSE))*100),0)</f>
        <v>0</v>
      </c>
      <c r="AV43" s="146">
        <f>IFERROR(('B3'!U86/(VLOOKUP(D5,Currency!$A$2:$D$33,3,FALSE))*100),0)</f>
        <v>0</v>
      </c>
      <c r="AW43" s="146">
        <f>IFERROR(('B3'!V86/(VLOOKUP(D5,Currency!$A$2:$D$33,3,FALSE))*100),0)</f>
        <v>0</v>
      </c>
      <c r="AX43" s="146">
        <f>IFERROR(('B3'!W86/(VLOOKUP(D5,Currency!$A$2:$D$33,3,FALSE))*100),0)</f>
        <v>0</v>
      </c>
      <c r="AY43" s="146">
        <f>IFERROR(('B3'!X86/(VLOOKUP(D5,Currency!$A$2:$D$33,3,FALSE))*100),0)</f>
        <v>0</v>
      </c>
      <c r="AZ43" s="151">
        <f>IFERROR(('B3'!Y86/(VLOOKUP(D5,Currency!$A$2:$D$33,3,FALSE))*100),0)</f>
        <v>0</v>
      </c>
      <c r="BA43" s="146">
        <f>IFERROR(('B3'!Z86/(VLOOKUP(D5,Currency!$A$2:$D$33,3,FALSE))*100),0)</f>
        <v>0</v>
      </c>
      <c r="BB43" s="151">
        <f>IFERROR(('B3'!AA86/(VLOOKUP(D5,Currency!$A$2:$D$33,3,FALSE))*100),0)</f>
        <v>0</v>
      </c>
      <c r="BC43" s="151">
        <f>IFERROR(('B3'!AB86/(VLOOKUP(D5,Currency!$A$2:$D$33,3,FALSE))*100),0)</f>
        <v>0</v>
      </c>
      <c r="BD43" s="181">
        <f t="shared" si="92"/>
        <v>0</v>
      </c>
      <c r="BF43" s="190" t="s">
        <v>76</v>
      </c>
      <c r="BG43" s="151"/>
      <c r="BH43" s="146">
        <f>IFERROR(('B4'!S86/(VLOOKUP(D5,Currency!$A$2:$D$33,3,FALSE))*100),0)</f>
        <v>0</v>
      </c>
      <c r="BI43" s="146">
        <f>IFERROR(('B4'!T86/(VLOOKUP(D5,Currency!$A$2:$D$33,3,FALSE))*100),0)</f>
        <v>0</v>
      </c>
      <c r="BJ43" s="146">
        <f>IFERROR(('B4'!U86/(VLOOKUP(D5,Currency!$A$2:$D$33,3,FALSE))*100),0)</f>
        <v>0</v>
      </c>
      <c r="BK43" s="146">
        <f>IFERROR(('B4'!V86/(VLOOKUP(D5,Currency!$A$2:$D$33,3,FALSE))*100),0)</f>
        <v>0</v>
      </c>
      <c r="BL43" s="146">
        <f>IFERROR(('B4'!W86/(VLOOKUP(D5,Currency!$A$2:$D$33,3,FALSE))*100),0)</f>
        <v>0</v>
      </c>
      <c r="BM43" s="146">
        <f>IFERROR(('B4'!X86/(VLOOKUP(D5,Currency!$A$2:$D$33,3,FALSE))*100),0)</f>
        <v>0</v>
      </c>
      <c r="BN43" s="151">
        <f>IFERROR(('B4'!Y86/(VLOOKUP(D5,Currency!$A$2:$D$33,3,FALSE))*100),0)</f>
        <v>0</v>
      </c>
      <c r="BO43" s="146">
        <f>IFERROR(('B4'!Z86/(VLOOKUP(D5,Currency!$A$2:$D$33,3,FALSE))*100),0)</f>
        <v>0</v>
      </c>
      <c r="BP43" s="151">
        <f>IFERROR(('B4'!AA86/(VLOOKUP(D5,Currency!$A$2:$D$33,3,FALSE))*100),0)</f>
        <v>0</v>
      </c>
      <c r="BQ43" s="151">
        <f>IFERROR(('B4'!AB86/(VLOOKUP(D5,Currency!$A$2:$D$33,3,FALSE))*100),0)</f>
        <v>0</v>
      </c>
      <c r="BR43" s="181">
        <f t="shared" si="93"/>
        <v>0</v>
      </c>
      <c r="BT43" s="190" t="s">
        <v>76</v>
      </c>
      <c r="BU43" s="151"/>
      <c r="BV43" s="146">
        <f>IFERROR(('B5'!S86/(VLOOKUP(D5,Currency!$A$2:$D$33,3,FALSE))*100),0)</f>
        <v>0</v>
      </c>
      <c r="BW43" s="146">
        <f>IFERROR(('B5'!T86/(VLOOKUP(D5,Currency!$A$2:$D$33,3,FALSE))*100),0)</f>
        <v>0</v>
      </c>
      <c r="BX43" s="146">
        <f>IFERROR(('B5'!U86/(VLOOKUP(D5,Currency!$A$2:$D$33,3,FALSE))*100),0)</f>
        <v>0</v>
      </c>
      <c r="BY43" s="146">
        <f>IFERROR(('B5'!V86/(VLOOKUP(D5,Currency!$A$2:$D$33,3,FALSE))*100),0)</f>
        <v>0</v>
      </c>
      <c r="BZ43" s="146">
        <f>IFERROR(('B5'!W86/(VLOOKUP(D5,Currency!$A$2:$D$33,3,FALSE))*100),0)</f>
        <v>0</v>
      </c>
      <c r="CA43" s="146">
        <f>IFERROR(('B5'!X86/(VLOOKUP(D5,Currency!$A$2:$D$33,3,FALSE))*100),0)</f>
        <v>0</v>
      </c>
      <c r="CB43" s="151">
        <f>IFERROR(('B5'!Y86/(VLOOKUP(D5,Currency!$A$2:$D$33,3,FALSE))*100),0)</f>
        <v>0</v>
      </c>
      <c r="CC43" s="146">
        <f>IFERROR(('B5'!Z86/(VLOOKUP(D5,Currency!$A$2:$D$33,3,FALSE))*100),0)</f>
        <v>0</v>
      </c>
      <c r="CD43" s="151">
        <f>IFERROR(('B5'!AA86/(VLOOKUP(D5,Currency!$A$2:$D$33,3,FALSE))*100),0)</f>
        <v>0</v>
      </c>
      <c r="CE43" s="151">
        <f>IFERROR(('B5'!AB86/(VLOOKUP(D5,Currency!$A$2:$D$33,3,FALSE))*100),0)</f>
        <v>0</v>
      </c>
      <c r="CF43" s="181">
        <f t="shared" si="94"/>
        <v>0</v>
      </c>
    </row>
    <row r="44" spans="2:84" x14ac:dyDescent="0.2">
      <c r="B44" s="190" t="s">
        <v>77</v>
      </c>
      <c r="C44" s="151"/>
      <c r="D44" s="146">
        <f>IFERROR((Total!D37/(VLOOKUP(D5,Currency!$A$2:$D$33,3,FALSE))*100),0)</f>
        <v>0</v>
      </c>
      <c r="E44" s="196">
        <f>IFERROR((Total!E37/(VLOOKUP(D5,Currency!$A$2:$D$33,3,FALSE))*100),0)</f>
        <v>0</v>
      </c>
      <c r="F44" s="196">
        <f>IFERROR((Total!F37/(VLOOKUP(D5,Currency!$A$2:$D$33,3,FALSE))*100),0)</f>
        <v>0</v>
      </c>
      <c r="G44" s="196">
        <f>IFERROR((Total!G37/(VLOOKUP(D5,Currency!$A$2:$D$33,3,FALSE))*100),0)</f>
        <v>0</v>
      </c>
      <c r="H44" s="196">
        <f>IFERROR((Total!H37/(VLOOKUP(D5,Currency!$A$2:$D$33,3,FALSE))*100),0)</f>
        <v>0</v>
      </c>
      <c r="I44" s="196">
        <f>IFERROR((Total!I37/(VLOOKUP(D5,Currency!$A$2:$D$33,3,FALSE))*100),0)</f>
        <v>0</v>
      </c>
      <c r="J44" s="197">
        <f>IFERROR((Total!J37/(VLOOKUP(D5,Currency!$A$2:$D$33,3,FALSE))*100),0)</f>
        <v>0</v>
      </c>
      <c r="K44" s="196">
        <f>IFERROR((Total!K37/(VLOOKUP(D5,Currency!$A$2:$D$33,3,FALSE))*100),0)</f>
        <v>0</v>
      </c>
      <c r="L44" s="197">
        <f>IFERROR((Total!L37/(VLOOKUP(D5,Currency!$A$2:$D$33,3,FALSE))*100),0)</f>
        <v>0</v>
      </c>
      <c r="M44" s="197">
        <f>IFERROR((Total!M37/(VLOOKUP(D5,Currency!$A$2:$D$33,3,FALSE))*100),0)</f>
        <v>0</v>
      </c>
      <c r="N44" s="181">
        <f t="shared" si="89"/>
        <v>0</v>
      </c>
      <c r="P44" s="190" t="s">
        <v>77</v>
      </c>
      <c r="Q44" s="151"/>
      <c r="R44" s="146">
        <f>IFERROR(('B1'!S87/(VLOOKUP(D5,Currency!$A$2:$D$33,3,FALSE))*100),0)</f>
        <v>0</v>
      </c>
      <c r="S44" s="196">
        <f>IFERROR(('B1'!T87/(VLOOKUP(D5,Currency!$A$2:$D$33,3,FALSE))*100),0)</f>
        <v>0</v>
      </c>
      <c r="T44" s="196">
        <f>IFERROR(('B1'!U87/(VLOOKUP(D5,Currency!$A$2:$D$33,3,FALSE))*100),0)</f>
        <v>0</v>
      </c>
      <c r="U44" s="196">
        <f>IFERROR(('B1'!V87/(VLOOKUP(D5,Currency!$A$2:$D$33,3,FALSE))*100),0)</f>
        <v>0</v>
      </c>
      <c r="V44" s="196">
        <f>IFERROR(('B1'!W87/(VLOOKUP(D5,Currency!$A$2:$D$33,3,FALSE))*100),0)</f>
        <v>0</v>
      </c>
      <c r="W44" s="196">
        <f>IFERROR(('B1'!X87/(VLOOKUP(D5,Currency!$A$2:$D$33,3,FALSE))*100),0)</f>
        <v>0</v>
      </c>
      <c r="X44" s="197">
        <f>IFERROR(('B1'!Y87/(VLOOKUP(D5,Currency!$A$2:$D$33,3,FALSE))*100),0)</f>
        <v>0</v>
      </c>
      <c r="Y44" s="196">
        <f>IFERROR(('B1'!Z87/(VLOOKUP(D5,Currency!$A$2:$D$33,3,FALSE))*100),0)</f>
        <v>0</v>
      </c>
      <c r="Z44" s="197">
        <f>IFERROR(('B1'!AA87/(VLOOKUP(D5,Currency!$A$2:$D$33,3,FALSE))*100),0)</f>
        <v>0</v>
      </c>
      <c r="AA44" s="197">
        <f>IFERROR(('B1'!AB87/(VLOOKUP(D5,Currency!$A$2:$D$33,3,FALSE))*100),0)</f>
        <v>0</v>
      </c>
      <c r="AB44" s="181">
        <f t="shared" si="90"/>
        <v>0</v>
      </c>
      <c r="AD44" s="190" t="s">
        <v>77</v>
      </c>
      <c r="AE44" s="151"/>
      <c r="AF44" s="146">
        <f>IFERROR(('B2'!S87/(VLOOKUP(D5,Currency!$A$2:$D$33,3,FALSE))*100),0)</f>
        <v>0</v>
      </c>
      <c r="AG44" s="196">
        <f>IFERROR(('B2'!T87/(VLOOKUP(D5,Currency!$A$2:$D$33,3,FALSE))*100),0)</f>
        <v>0</v>
      </c>
      <c r="AH44" s="196">
        <f>IFERROR(('B2'!U87/(VLOOKUP(D5,Currency!$A$2:$D$33,3,FALSE))*100),0)</f>
        <v>0</v>
      </c>
      <c r="AI44" s="196">
        <f>IFERROR(('B2'!V87/(VLOOKUP(D5,Currency!$A$2:$D$33,3,FALSE))*100),0)</f>
        <v>0</v>
      </c>
      <c r="AJ44" s="196">
        <f>IFERROR(('B2'!W87/(VLOOKUP(D5,Currency!$A$2:$D$33,3,FALSE))*100),0)</f>
        <v>0</v>
      </c>
      <c r="AK44" s="196">
        <f>IFERROR(('B2'!X87/(VLOOKUP(D5,Currency!$A$2:$D$33,3,FALSE))*100),0)</f>
        <v>0</v>
      </c>
      <c r="AL44" s="197">
        <f>IFERROR(('B2'!Y87/(VLOOKUP(D5,Currency!$A$2:$D$33,3,FALSE))*100),0)</f>
        <v>0</v>
      </c>
      <c r="AM44" s="196">
        <f>IFERROR(('B2'!Z87/(VLOOKUP(D5,Currency!$A$2:$D$33,3,FALSE))*100),0)</f>
        <v>0</v>
      </c>
      <c r="AN44" s="197">
        <f>IFERROR(('B2'!AA87/(VLOOKUP(D5,Currency!$A$2:$D$33,3,FALSE))*100),0)</f>
        <v>0</v>
      </c>
      <c r="AO44" s="197">
        <f>IFERROR(('B2'!AB87/(VLOOKUP(D5,Currency!$A$2:$D$33,3,FALSE))*100),0)</f>
        <v>0</v>
      </c>
      <c r="AP44" s="181">
        <f t="shared" si="91"/>
        <v>0</v>
      </c>
      <c r="AR44" s="190" t="s">
        <v>77</v>
      </c>
      <c r="AS44" s="151"/>
      <c r="AT44" s="146">
        <f>IFERROR(('B3'!S87/(VLOOKUP(D5,Currency!$A$2:$D$33,3,FALSE))*100),0)</f>
        <v>0</v>
      </c>
      <c r="AU44" s="196">
        <f>IFERROR(('B3'!T87/(VLOOKUP(D5,Currency!$A$2:$D$33,3,FALSE))*100),0)</f>
        <v>0</v>
      </c>
      <c r="AV44" s="196">
        <f>IFERROR(('B3'!U87/(VLOOKUP(D5,Currency!$A$2:$D$33,3,FALSE))*100),0)</f>
        <v>0</v>
      </c>
      <c r="AW44" s="196">
        <f>IFERROR(('B3'!V87/(VLOOKUP(D5,Currency!$A$2:$D$33,3,FALSE))*100),0)</f>
        <v>0</v>
      </c>
      <c r="AX44" s="196">
        <f>IFERROR(('B3'!W87/(VLOOKUP(D5,Currency!$A$2:$D$33,3,FALSE))*100),0)</f>
        <v>0</v>
      </c>
      <c r="AY44" s="196">
        <f>IFERROR(('B3'!X87/(VLOOKUP(D5,Currency!$A$2:$D$33,3,FALSE))*100),0)</f>
        <v>0</v>
      </c>
      <c r="AZ44" s="197">
        <f>IFERROR(('B3'!Y87/(VLOOKUP(D5,Currency!$A$2:$D$33,3,FALSE))*100),0)</f>
        <v>0</v>
      </c>
      <c r="BA44" s="196">
        <f>IFERROR(('B3'!Z87/(VLOOKUP(D5,Currency!$A$2:$D$33,3,FALSE))*100),0)</f>
        <v>0</v>
      </c>
      <c r="BB44" s="197">
        <f>IFERROR(('B3'!AA87/(VLOOKUP(D5,Currency!$A$2:$D$33,3,FALSE))*100),0)</f>
        <v>0</v>
      </c>
      <c r="BC44" s="197">
        <f>IFERROR(('B3'!AB87/(VLOOKUP(D5,Currency!$A$2:$D$33,3,FALSE))*100),0)</f>
        <v>0</v>
      </c>
      <c r="BD44" s="181">
        <f t="shared" si="92"/>
        <v>0</v>
      </c>
      <c r="BF44" s="190" t="s">
        <v>77</v>
      </c>
      <c r="BG44" s="151"/>
      <c r="BH44" s="146">
        <f>IFERROR(('B4'!S87/(VLOOKUP(D5,Currency!$A$2:$D$33,3,FALSE))*100),0)</f>
        <v>0</v>
      </c>
      <c r="BI44" s="196">
        <f>IFERROR(('B4'!T87/(VLOOKUP(D5,Currency!$A$2:$D$33,3,FALSE))*100),0)</f>
        <v>0</v>
      </c>
      <c r="BJ44" s="196">
        <f>IFERROR(('B4'!U87/(VLOOKUP(D5,Currency!$A$2:$D$33,3,FALSE))*100),0)</f>
        <v>0</v>
      </c>
      <c r="BK44" s="196">
        <f>IFERROR(('B4'!V87/(VLOOKUP(D5,Currency!$A$2:$D$33,3,FALSE))*100),0)</f>
        <v>0</v>
      </c>
      <c r="BL44" s="196">
        <f>IFERROR(('B4'!W87/(VLOOKUP(D5,Currency!$A$2:$D$33,3,FALSE))*100),0)</f>
        <v>0</v>
      </c>
      <c r="BM44" s="196">
        <f>IFERROR(('B4'!X87/(VLOOKUP(D5,Currency!$A$2:$D$33,3,FALSE))*100),0)</f>
        <v>0</v>
      </c>
      <c r="BN44" s="197">
        <f>IFERROR(('B4'!Y87/(VLOOKUP(D5,Currency!$A$2:$D$33,3,FALSE))*100),0)</f>
        <v>0</v>
      </c>
      <c r="BO44" s="196">
        <f>IFERROR(('B4'!Z87/(VLOOKUP(D5,Currency!$A$2:$D$33,3,FALSE))*100),0)</f>
        <v>0</v>
      </c>
      <c r="BP44" s="197">
        <f>IFERROR(('B4'!AA87/(VLOOKUP(D5,Currency!$A$2:$D$33,3,FALSE))*100),0)</f>
        <v>0</v>
      </c>
      <c r="BQ44" s="197">
        <f>IFERROR(('B4'!AB87/(VLOOKUP(D5,Currency!$A$2:$D$33,3,FALSE))*100),0)</f>
        <v>0</v>
      </c>
      <c r="BR44" s="181">
        <f t="shared" si="93"/>
        <v>0</v>
      </c>
      <c r="BT44" s="190" t="s">
        <v>77</v>
      </c>
      <c r="BU44" s="151"/>
      <c r="BV44" s="146">
        <f>IFERROR(('B5'!S87/(VLOOKUP(D5,Currency!$A$2:$D$33,3,FALSE))*100),0)</f>
        <v>0</v>
      </c>
      <c r="BW44" s="196">
        <f>IFERROR(('B5'!T87/(VLOOKUP(D5,Currency!$A$2:$D$33,3,FALSE))*100),0)</f>
        <v>0</v>
      </c>
      <c r="BX44" s="196">
        <f>IFERROR(('B5'!U87/(VLOOKUP(D5,Currency!$A$2:$D$33,3,FALSE))*100),0)</f>
        <v>0</v>
      </c>
      <c r="BY44" s="196">
        <f>IFERROR(('B5'!V87/(VLOOKUP(D5,Currency!$A$2:$D$33,3,FALSE))*100),0)</f>
        <v>0</v>
      </c>
      <c r="BZ44" s="196">
        <f>IFERROR(('B5'!W87/(VLOOKUP(D5,Currency!$A$2:$D$33,3,FALSE))*100),0)</f>
        <v>0</v>
      </c>
      <c r="CA44" s="196">
        <f>IFERROR(('B5'!X87/(VLOOKUP(D5,Currency!$A$2:$D$33,3,FALSE))*100),0)</f>
        <v>0</v>
      </c>
      <c r="CB44" s="197">
        <f>IFERROR(('B5'!Y87/(VLOOKUP(D5,Currency!$A$2:$D$33,3,FALSE))*100),0)</f>
        <v>0</v>
      </c>
      <c r="CC44" s="196">
        <f>IFERROR(('B5'!Z87/(VLOOKUP(D5,Currency!$A$2:$D$33,3,FALSE))*100),0)</f>
        <v>0</v>
      </c>
      <c r="CD44" s="197">
        <f>IFERROR(('B5'!AA87/(VLOOKUP(D5,Currency!$A$2:$D$33,3,FALSE))*100),0)</f>
        <v>0</v>
      </c>
      <c r="CE44" s="197">
        <f>IFERROR(('B5'!AB87/(VLOOKUP(D5,Currency!$A$2:$D$33,3,FALSE))*100),0)</f>
        <v>0</v>
      </c>
      <c r="CF44" s="181">
        <f t="shared" si="94"/>
        <v>0</v>
      </c>
    </row>
    <row r="45" spans="2:84" x14ac:dyDescent="0.2">
      <c r="B45" s="190" t="s">
        <v>78</v>
      </c>
      <c r="C45" s="151"/>
      <c r="D45" s="146">
        <f>IFERROR((Total!D38/(VLOOKUP(D5,Currency!$A$2:$D$33,3,FALSE))*100),0)</f>
        <v>0</v>
      </c>
      <c r="E45" s="203">
        <f>IFERROR((Total!E38/(VLOOKUP(D5,Currency!$A$2:$D$33,3,FALSE))*100),0)</f>
        <v>0</v>
      </c>
      <c r="F45" s="203">
        <f>IFERROR((Total!F38/(VLOOKUP(D5,Currency!$A$2:$D$33,3,FALSE))*100),0)</f>
        <v>0</v>
      </c>
      <c r="G45" s="203">
        <f>IFERROR((Total!G38/(VLOOKUP(D5,Currency!$A$2:$D$33,3,FALSE))*100),0)</f>
        <v>0</v>
      </c>
      <c r="H45" s="203">
        <f>IFERROR((Total!H38/(VLOOKUP(D5,Currency!$A$2:$D$33,3,FALSE))*100),0)</f>
        <v>0</v>
      </c>
      <c r="I45" s="203">
        <f>IFERROR((Total!I38/(VLOOKUP(D5,Currency!$A$2:$D$33,3,FALSE))*100),0)</f>
        <v>0</v>
      </c>
      <c r="J45" s="204">
        <f>IFERROR((Total!J38/(VLOOKUP(D5,Currency!$A$2:$D$33,3,FALSE))*100),0)</f>
        <v>0</v>
      </c>
      <c r="K45" s="203">
        <f>IFERROR((Total!K38/(VLOOKUP(D5,Currency!$A$2:$D$33,3,FALSE))*100),0)</f>
        <v>0</v>
      </c>
      <c r="L45" s="204">
        <f>IFERROR((Total!L38/(VLOOKUP(D5,Currency!$A$2:$D$33,3,FALSE))*100),0)</f>
        <v>0</v>
      </c>
      <c r="M45" s="204">
        <f>IFERROR((Total!M38/(VLOOKUP(D5,Currency!$A$2:$D$33,3,FALSE))*100),0)</f>
        <v>0</v>
      </c>
      <c r="N45" s="181">
        <f t="shared" si="89"/>
        <v>0</v>
      </c>
      <c r="P45" s="190" t="s">
        <v>78</v>
      </c>
      <c r="Q45" s="151"/>
      <c r="R45" s="146">
        <f>IFERROR(('B1'!S88/(VLOOKUP(D5,Currency!$A$2:$D$33,3,FALSE))*100),0)</f>
        <v>0</v>
      </c>
      <c r="S45" s="203">
        <f>IFERROR(('B1'!T88/(VLOOKUP(D5,Currency!$A$2:$D$33,3,FALSE))*100),0)</f>
        <v>0</v>
      </c>
      <c r="T45" s="203">
        <f>IFERROR(('B1'!U88/(VLOOKUP(D5,Currency!$A$2:$D$33,3,FALSE))*100),0)</f>
        <v>0</v>
      </c>
      <c r="U45" s="203">
        <f>IFERROR(('B1'!V88/(VLOOKUP(D5,Currency!$A$2:$D$33,3,FALSE))*100),0)</f>
        <v>0</v>
      </c>
      <c r="V45" s="203">
        <f>IFERROR(('B1'!W88/(VLOOKUP(D5,Currency!$A$2:$D$33,3,FALSE))*100),0)</f>
        <v>0</v>
      </c>
      <c r="W45" s="203">
        <f>IFERROR(('B1'!X88/(VLOOKUP(D5,Currency!$A$2:$D$33,3,FALSE))*100),0)</f>
        <v>0</v>
      </c>
      <c r="X45" s="204">
        <f>IFERROR(('B1'!Y88/(VLOOKUP(D5,Currency!$A$2:$D$33,3,FALSE))*100),0)</f>
        <v>0</v>
      </c>
      <c r="Y45" s="203">
        <f>IFERROR(('B1'!Z88/(VLOOKUP(D5,Currency!$A$2:$D$33,3,FALSE))*100),0)</f>
        <v>0</v>
      </c>
      <c r="Z45" s="204">
        <f>IFERROR(('B1'!AA88/(VLOOKUP(D5,Currency!$A$2:$D$33,3,FALSE))*100),0)</f>
        <v>0</v>
      </c>
      <c r="AA45" s="204">
        <f>IFERROR(('B1'!AB88/(VLOOKUP(D5,Currency!$A$2:$D$33,3,FALSE))*100),0)</f>
        <v>0</v>
      </c>
      <c r="AB45" s="181">
        <f t="shared" si="90"/>
        <v>0</v>
      </c>
      <c r="AD45" s="190" t="s">
        <v>78</v>
      </c>
      <c r="AE45" s="151"/>
      <c r="AF45" s="146">
        <f>IFERROR(('B2'!S88/(VLOOKUP(D5,Currency!$A$2:$D$33,3,FALSE))*100),0)</f>
        <v>0</v>
      </c>
      <c r="AG45" s="203">
        <f>IFERROR(('B2'!T88/(VLOOKUP(D5,Currency!$A$2:$D$33,3,FALSE))*100),0)</f>
        <v>0</v>
      </c>
      <c r="AH45" s="203">
        <f>IFERROR(('B2'!U88/(VLOOKUP(D5,Currency!$A$2:$D$33,3,FALSE))*100),0)</f>
        <v>0</v>
      </c>
      <c r="AI45" s="203">
        <f>IFERROR(('B2'!V88/(VLOOKUP(D5,Currency!$A$2:$D$33,3,FALSE))*100),0)</f>
        <v>0</v>
      </c>
      <c r="AJ45" s="203">
        <f>IFERROR(('B2'!W88/(VLOOKUP(D5,Currency!$A$2:$D$33,3,FALSE))*100),0)</f>
        <v>0</v>
      </c>
      <c r="AK45" s="203">
        <f>IFERROR(('B2'!X88/(VLOOKUP(D5,Currency!$A$2:$D$33,3,FALSE))*100),0)</f>
        <v>0</v>
      </c>
      <c r="AL45" s="204">
        <f>IFERROR(('B2'!Y88/(VLOOKUP(D5,Currency!$A$2:$D$33,3,FALSE))*100),0)</f>
        <v>0</v>
      </c>
      <c r="AM45" s="203">
        <f>IFERROR(('B2'!Z88/(VLOOKUP(D5,Currency!$A$2:$D$33,3,FALSE))*100),0)</f>
        <v>0</v>
      </c>
      <c r="AN45" s="204">
        <f>IFERROR(('B2'!AA88/(VLOOKUP(D5,Currency!$A$2:$D$33,3,FALSE))*100),0)</f>
        <v>0</v>
      </c>
      <c r="AO45" s="204">
        <f>IFERROR(('B2'!AB88/(VLOOKUP(D5,Currency!$A$2:$D$33,3,FALSE))*100),0)</f>
        <v>0</v>
      </c>
      <c r="AP45" s="181">
        <f t="shared" si="91"/>
        <v>0</v>
      </c>
      <c r="AR45" s="190" t="s">
        <v>78</v>
      </c>
      <c r="AS45" s="151"/>
      <c r="AT45" s="146">
        <f>IFERROR(('B3'!S88/(VLOOKUP(D5,Currency!$A$2:$D$33,3,FALSE))*100),0)</f>
        <v>0</v>
      </c>
      <c r="AU45" s="203">
        <f>IFERROR(('B3'!T88/(VLOOKUP(D5,Currency!$A$2:$D$33,3,FALSE))*100),0)</f>
        <v>0</v>
      </c>
      <c r="AV45" s="203">
        <f>IFERROR(('B3'!U88/(VLOOKUP(D5,Currency!$A$2:$D$33,3,FALSE))*100),0)</f>
        <v>0</v>
      </c>
      <c r="AW45" s="203">
        <f>IFERROR(('B3'!V88/(VLOOKUP(D5,Currency!$A$2:$D$33,3,FALSE))*100),0)</f>
        <v>0</v>
      </c>
      <c r="AX45" s="203">
        <f>IFERROR(('B3'!W88/(VLOOKUP(D5,Currency!$A$2:$D$33,3,FALSE))*100),0)</f>
        <v>0</v>
      </c>
      <c r="AY45" s="203">
        <f>IFERROR(('B3'!X88/(VLOOKUP(D5,Currency!$A$2:$D$33,3,FALSE))*100),0)</f>
        <v>0</v>
      </c>
      <c r="AZ45" s="204">
        <f>IFERROR(('B3'!Y88/(VLOOKUP(D5,Currency!$A$2:$D$33,3,FALSE))*100),0)</f>
        <v>0</v>
      </c>
      <c r="BA45" s="203">
        <f>IFERROR(('B3'!Z88/(VLOOKUP(D5,Currency!$A$2:$D$33,3,FALSE))*100),0)</f>
        <v>0</v>
      </c>
      <c r="BB45" s="204">
        <f>IFERROR(('B3'!AA88/(VLOOKUP(D5,Currency!$A$2:$D$33,3,FALSE))*100),0)</f>
        <v>0</v>
      </c>
      <c r="BC45" s="204">
        <f>IFERROR(('B3'!AB88/(VLOOKUP(D5,Currency!$A$2:$D$33,3,FALSE))*100),0)</f>
        <v>0</v>
      </c>
      <c r="BD45" s="181">
        <f t="shared" si="92"/>
        <v>0</v>
      </c>
      <c r="BF45" s="190" t="s">
        <v>78</v>
      </c>
      <c r="BG45" s="151"/>
      <c r="BH45" s="146">
        <f>IFERROR(('B4'!S88/(VLOOKUP(D5,Currency!$A$2:$D$33,3,FALSE))*100),0)</f>
        <v>0</v>
      </c>
      <c r="BI45" s="203">
        <f>IFERROR(('B4'!T88/(VLOOKUP(D5,Currency!$A$2:$D$33,3,FALSE))*100),0)</f>
        <v>0</v>
      </c>
      <c r="BJ45" s="203">
        <f>IFERROR(('B4'!U88/(VLOOKUP(D5,Currency!$A$2:$D$33,3,FALSE))*100),0)</f>
        <v>0</v>
      </c>
      <c r="BK45" s="203">
        <f>IFERROR(('B4'!V88/(VLOOKUP(D5,Currency!$A$2:$D$33,3,FALSE))*100),0)</f>
        <v>0</v>
      </c>
      <c r="BL45" s="203">
        <f>IFERROR(('B4'!W88/(VLOOKUP(D5,Currency!$A$2:$D$33,3,FALSE))*100),0)</f>
        <v>0</v>
      </c>
      <c r="BM45" s="203">
        <f>IFERROR(('B4'!X88/(VLOOKUP(D5,Currency!$A$2:$D$33,3,FALSE))*100),0)</f>
        <v>0</v>
      </c>
      <c r="BN45" s="204">
        <f>IFERROR(('B4'!Y88/(VLOOKUP(D5,Currency!$A$2:$D$33,3,FALSE))*100),0)</f>
        <v>0</v>
      </c>
      <c r="BO45" s="203">
        <f>IFERROR(('B4'!Z88/(VLOOKUP(D5,Currency!$A$2:$D$33,3,FALSE))*100),0)</f>
        <v>0</v>
      </c>
      <c r="BP45" s="204">
        <f>IFERROR(('B4'!AA88/(VLOOKUP(D5,Currency!$A$2:$D$33,3,FALSE))*100),0)</f>
        <v>0</v>
      </c>
      <c r="BQ45" s="204">
        <f>IFERROR(('B4'!AB88/(VLOOKUP(D5,Currency!$A$2:$D$33,3,FALSE))*100),0)</f>
        <v>0</v>
      </c>
      <c r="BR45" s="181">
        <f t="shared" si="93"/>
        <v>0</v>
      </c>
      <c r="BT45" s="190" t="s">
        <v>78</v>
      </c>
      <c r="BU45" s="151"/>
      <c r="BV45" s="146">
        <f>IFERROR(('B5'!S88/(VLOOKUP(D5,Currency!$A$2:$D$33,3,FALSE))*100),0)</f>
        <v>0</v>
      </c>
      <c r="BW45" s="203">
        <f>IFERROR(('B5'!T88/(VLOOKUP(D5,Currency!$A$2:$D$33,3,FALSE))*100),0)</f>
        <v>0</v>
      </c>
      <c r="BX45" s="203">
        <f>IFERROR(('B5'!U88/(VLOOKUP(D5,Currency!$A$2:$D$33,3,FALSE))*100),0)</f>
        <v>0</v>
      </c>
      <c r="BY45" s="203">
        <f>IFERROR(('B5'!V88/(VLOOKUP(D5,Currency!$A$2:$D$33,3,FALSE))*100),0)</f>
        <v>0</v>
      </c>
      <c r="BZ45" s="203">
        <f>IFERROR(('B5'!W88/(VLOOKUP(D5,Currency!$A$2:$D$33,3,FALSE))*100),0)</f>
        <v>0</v>
      </c>
      <c r="CA45" s="203">
        <f>IFERROR(('B5'!X88/(VLOOKUP(D5,Currency!$A$2:$D$33,3,FALSE))*100),0)</f>
        <v>0</v>
      </c>
      <c r="CB45" s="204">
        <f>IFERROR(('B5'!Y88/(VLOOKUP(D5,Currency!$A$2:$D$33,3,FALSE))*100),0)</f>
        <v>0</v>
      </c>
      <c r="CC45" s="203">
        <f>IFERROR(('B5'!Z88/(VLOOKUP(D5,Currency!$A$2:$D$33,3,FALSE))*100),0)</f>
        <v>0</v>
      </c>
      <c r="CD45" s="204">
        <f>IFERROR(('B5'!AA88/(VLOOKUP(D5,Currency!$A$2:$D$33,3,FALSE))*100),0)</f>
        <v>0</v>
      </c>
      <c r="CE45" s="204">
        <f>IFERROR(('B5'!AB88/(VLOOKUP(D5,Currency!$A$2:$D$33,3,FALSE))*100),0)</f>
        <v>0</v>
      </c>
      <c r="CF45" s="181">
        <f t="shared" si="94"/>
        <v>0</v>
      </c>
    </row>
    <row r="46" spans="2:84" x14ac:dyDescent="0.2">
      <c r="B46" s="191" t="s">
        <v>0</v>
      </c>
      <c r="C46" s="119"/>
      <c r="D46" s="21">
        <f>IFERROR((Total!D39/(VLOOKUP(D5,Currency!$A$2:$D$33,3,FALSE))*100),0)</f>
        <v>0</v>
      </c>
      <c r="E46" s="198">
        <f>IFERROR((Total!E39/(VLOOKUP(D5,Currency!$A$2:$D$33,3,FALSE))*100),0)</f>
        <v>0</v>
      </c>
      <c r="F46" s="198">
        <f>IFERROR((Total!F39/(VLOOKUP(D5,Currency!$A$2:$D$33,3,FALSE))*100),0)</f>
        <v>0</v>
      </c>
      <c r="G46" s="198">
        <f>IFERROR((Total!G39/(VLOOKUP(D5,Currency!$A$2:$D$33,3,FALSE))*100),0)</f>
        <v>0</v>
      </c>
      <c r="H46" s="198">
        <f>IFERROR((Total!H39/(VLOOKUP(D5,Currency!$A$2:$D$33,3,FALSE))*100),0)</f>
        <v>0</v>
      </c>
      <c r="I46" s="198">
        <f>IFERROR((Total!I39/(VLOOKUP(D5,Currency!$A$2:$D$33,3,FALSE))*100),0)</f>
        <v>0</v>
      </c>
      <c r="J46" s="199">
        <f>IFERROR((Total!J39/(VLOOKUP(D5,Currency!$A$2:$D$33,3,FALSE))*100),0)</f>
        <v>0</v>
      </c>
      <c r="K46" s="198">
        <f>IFERROR((Total!K39/(VLOOKUP(D5,Currency!$A$2:$D$33,3,FALSE))*100),0)</f>
        <v>0</v>
      </c>
      <c r="L46" s="199">
        <f>IFERROR((Total!L39/(VLOOKUP(D5,Currency!$A$2:$D$33,3,FALSE))*100),0)</f>
        <v>0</v>
      </c>
      <c r="M46" s="199">
        <f>IFERROR((Total!M39/(VLOOKUP(D5,Currency!$A$2:$D$33,3,FALSE))*100),0)</f>
        <v>0</v>
      </c>
      <c r="N46" s="181">
        <f t="shared" si="89"/>
        <v>0</v>
      </c>
      <c r="P46" s="191" t="s">
        <v>0</v>
      </c>
      <c r="Q46" s="119"/>
      <c r="R46" s="21">
        <f>IFERROR(('B1'!S89/(VLOOKUP(D5,Currency!$A$2:$D$33,3,FALSE))*100),0)</f>
        <v>0</v>
      </c>
      <c r="S46" s="198">
        <f>IFERROR(('B1'!T89/(VLOOKUP(D5,Currency!$A$2:$D$33,3,FALSE))*100),0)</f>
        <v>0</v>
      </c>
      <c r="T46" s="198">
        <f>IFERROR(('B1'!U89/(VLOOKUP(D5,Currency!$A$2:$D$33,3,FALSE))*100),0)</f>
        <v>0</v>
      </c>
      <c r="U46" s="198">
        <f>IFERROR(('B1'!V89/(VLOOKUP(D5,Currency!$A$2:$D$33,3,FALSE))*100),0)</f>
        <v>0</v>
      </c>
      <c r="V46" s="198">
        <f>IFERROR(('B1'!W89/(VLOOKUP(D5,Currency!$A$2:$D$33,3,FALSE))*100),0)</f>
        <v>0</v>
      </c>
      <c r="W46" s="198">
        <f>IFERROR(('B1'!X89/(VLOOKUP(D5,Currency!$A$2:$D$33,3,FALSE))*100),0)</f>
        <v>0</v>
      </c>
      <c r="X46" s="199">
        <f>IFERROR(('B1'!Y89/(VLOOKUP(D5,Currency!$A$2:$D$33,3,FALSE))*100),0)</f>
        <v>0</v>
      </c>
      <c r="Y46" s="198">
        <f>IFERROR(('B1'!Z89/(VLOOKUP(D5,Currency!$A$2:$D$33,3,FALSE))*100),0)</f>
        <v>0</v>
      </c>
      <c r="Z46" s="199">
        <f>IFERROR(('B1'!AA89/(VLOOKUP(D5,Currency!$A$2:$D$33,3,FALSE))*100),0)</f>
        <v>0</v>
      </c>
      <c r="AA46" s="199">
        <f>IFERROR(('B1'!AB89/(VLOOKUP(D5,Currency!$A$2:$D$33,3,FALSE))*100),0)</f>
        <v>0</v>
      </c>
      <c r="AB46" s="181">
        <f t="shared" si="90"/>
        <v>0</v>
      </c>
      <c r="AD46" s="191" t="s">
        <v>0</v>
      </c>
      <c r="AE46" s="119"/>
      <c r="AF46" s="21">
        <f>IFERROR(('B2'!S89/(VLOOKUP(D5,Currency!$A$2:$D$33,3,FALSE))*100),0)</f>
        <v>0</v>
      </c>
      <c r="AG46" s="198">
        <f>IFERROR(('B2'!T89/(VLOOKUP(D5,Currency!$A$2:$D$33,3,FALSE))*100),0)</f>
        <v>0</v>
      </c>
      <c r="AH46" s="198">
        <f>IFERROR(('B2'!U89/(VLOOKUP(D5,Currency!$A$2:$D$33,3,FALSE))*100),0)</f>
        <v>0</v>
      </c>
      <c r="AI46" s="198">
        <f>IFERROR(('B2'!V89/(VLOOKUP(D5,Currency!$A$2:$D$33,3,FALSE))*100),0)</f>
        <v>0</v>
      </c>
      <c r="AJ46" s="198">
        <f>IFERROR(('B2'!W89/(VLOOKUP(D5,Currency!$A$2:$D$33,3,FALSE))*100),0)</f>
        <v>0</v>
      </c>
      <c r="AK46" s="198">
        <f>IFERROR(('B2'!X89/(VLOOKUP(D5,Currency!$A$2:$D$33,3,FALSE))*100),0)</f>
        <v>0</v>
      </c>
      <c r="AL46" s="199">
        <f>IFERROR(('B2'!Y89/(VLOOKUP(D5,Currency!$A$2:$D$33,3,FALSE))*100),0)</f>
        <v>0</v>
      </c>
      <c r="AM46" s="198">
        <f>IFERROR(('B2'!Z89/(VLOOKUP(D5,Currency!$A$2:$D$33,3,FALSE))*100),0)</f>
        <v>0</v>
      </c>
      <c r="AN46" s="199">
        <f>IFERROR(('B2'!AA89/(VLOOKUP(D5,Currency!$A$2:$D$33,3,FALSE))*100),0)</f>
        <v>0</v>
      </c>
      <c r="AO46" s="199">
        <f>IFERROR(('B2'!AB89/(VLOOKUP(D5,Currency!$A$2:$D$33,3,FALSE))*100),0)</f>
        <v>0</v>
      </c>
      <c r="AP46" s="181">
        <f t="shared" si="91"/>
        <v>0</v>
      </c>
      <c r="AR46" s="191" t="s">
        <v>0</v>
      </c>
      <c r="AS46" s="119"/>
      <c r="AT46" s="21">
        <f>IFERROR(('B3'!S89/(VLOOKUP(D5,Currency!$A$2:$D$33,3,FALSE))*100),0)</f>
        <v>0</v>
      </c>
      <c r="AU46" s="198">
        <f>IFERROR(('B3'!T89/(VLOOKUP(D5,Currency!$A$2:$D$33,3,FALSE))*100),0)</f>
        <v>0</v>
      </c>
      <c r="AV46" s="198">
        <f>IFERROR(('B3'!U89/(VLOOKUP(D5,Currency!$A$2:$D$33,3,FALSE))*100),0)</f>
        <v>0</v>
      </c>
      <c r="AW46" s="198">
        <f>IFERROR(('B3'!V89/(VLOOKUP(D5,Currency!$A$2:$D$33,3,FALSE))*100),0)</f>
        <v>0</v>
      </c>
      <c r="AX46" s="198">
        <f>IFERROR(('B3'!W89/(VLOOKUP(D5,Currency!$A$2:$D$33,3,FALSE))*100),0)</f>
        <v>0</v>
      </c>
      <c r="AY46" s="198">
        <f>IFERROR(('B3'!X89/(VLOOKUP(D5,Currency!$A$2:$D$33,3,FALSE))*100),0)</f>
        <v>0</v>
      </c>
      <c r="AZ46" s="199">
        <f>IFERROR(('B3'!Y89/(VLOOKUP(D5,Currency!$A$2:$D$33,3,FALSE))*100),0)</f>
        <v>0</v>
      </c>
      <c r="BA46" s="198">
        <f>IFERROR(('B3'!Z89/(VLOOKUP(D5,Currency!$A$2:$D$33,3,FALSE))*100),0)</f>
        <v>0</v>
      </c>
      <c r="BB46" s="199">
        <f>IFERROR(('B3'!AA89/(VLOOKUP(D5,Currency!$A$2:$D$33,3,FALSE))*100),0)</f>
        <v>0</v>
      </c>
      <c r="BC46" s="199">
        <f>IFERROR(('B3'!AB89/(VLOOKUP(D5,Currency!$A$2:$D$33,3,FALSE))*100),0)</f>
        <v>0</v>
      </c>
      <c r="BD46" s="181">
        <f t="shared" si="92"/>
        <v>0</v>
      </c>
      <c r="BF46" s="191" t="s">
        <v>0</v>
      </c>
      <c r="BG46" s="119"/>
      <c r="BH46" s="21">
        <f>IFERROR(('B4'!S89/(VLOOKUP(D5,Currency!$A$2:$D$33,3,FALSE))*100),0)</f>
        <v>0</v>
      </c>
      <c r="BI46" s="198">
        <f>IFERROR(('B4'!T89/(VLOOKUP(D5,Currency!$A$2:$D$33,3,FALSE))*100),0)</f>
        <v>0</v>
      </c>
      <c r="BJ46" s="198">
        <f>IFERROR(('B4'!U89/(VLOOKUP(D5,Currency!$A$2:$D$33,3,FALSE))*100),0)</f>
        <v>0</v>
      </c>
      <c r="BK46" s="198">
        <f>IFERROR(('B4'!V89/(VLOOKUP(D5,Currency!$A$2:$D$33,3,FALSE))*100),0)</f>
        <v>0</v>
      </c>
      <c r="BL46" s="198">
        <f>IFERROR(('B4'!W89/(VLOOKUP(D5,Currency!$A$2:$D$33,3,FALSE))*100),0)</f>
        <v>0</v>
      </c>
      <c r="BM46" s="198">
        <f>IFERROR(('B4'!X89/(VLOOKUP(D5,Currency!$A$2:$D$33,3,FALSE))*100),0)</f>
        <v>0</v>
      </c>
      <c r="BN46" s="199">
        <f>IFERROR(('B4'!Y89/(VLOOKUP(D5,Currency!$A$2:$D$33,3,FALSE))*100),0)</f>
        <v>0</v>
      </c>
      <c r="BO46" s="198">
        <f>IFERROR(('B4'!Z89/(VLOOKUP(D5,Currency!$A$2:$D$33,3,FALSE))*100),0)</f>
        <v>0</v>
      </c>
      <c r="BP46" s="199">
        <f>IFERROR(('B4'!AA89/(VLOOKUP(D5,Currency!$A$2:$D$33,3,FALSE))*100),0)</f>
        <v>0</v>
      </c>
      <c r="BQ46" s="199">
        <f>IFERROR(('B4'!AB89/(VLOOKUP(D5,Currency!$A$2:$D$33,3,FALSE))*100),0)</f>
        <v>0</v>
      </c>
      <c r="BR46" s="181">
        <f t="shared" si="93"/>
        <v>0</v>
      </c>
      <c r="BT46" s="191" t="s">
        <v>0</v>
      </c>
      <c r="BU46" s="119"/>
      <c r="BV46" s="21">
        <f>IFERROR(('B5'!S89/(VLOOKUP(D5,Currency!$A$2:$D$33,3,FALSE))*100),0)</f>
        <v>0</v>
      </c>
      <c r="BW46" s="198">
        <f>IFERROR(('B5'!T89/(VLOOKUP(D5,Currency!$A$2:$D$33,3,FALSE))*100),0)</f>
        <v>0</v>
      </c>
      <c r="BX46" s="198">
        <f>IFERROR(('B5'!U89/(VLOOKUP(D5,Currency!$A$2:$D$33,3,FALSE))*100),0)</f>
        <v>0</v>
      </c>
      <c r="BY46" s="198">
        <f>IFERROR(('B5'!V89/(VLOOKUP(D5,Currency!$A$2:$D$33,3,FALSE))*100),0)</f>
        <v>0</v>
      </c>
      <c r="BZ46" s="198">
        <f>IFERROR(('B5'!W89/(VLOOKUP(D5,Currency!$A$2:$D$33,3,FALSE))*100),0)</f>
        <v>0</v>
      </c>
      <c r="CA46" s="198">
        <f>IFERROR(('B5'!X89/(VLOOKUP(D5,Currency!$A$2:$D$33,3,FALSE))*100),0)</f>
        <v>0</v>
      </c>
      <c r="CB46" s="199">
        <f>IFERROR(('B5'!Y89/(VLOOKUP(D5,Currency!$A$2:$D$33,3,FALSE))*100),0)</f>
        <v>0</v>
      </c>
      <c r="CC46" s="198">
        <f>IFERROR(('B5'!Z89/(VLOOKUP(D5,Currency!$A$2:$D$33,3,FALSE))*100),0)</f>
        <v>0</v>
      </c>
      <c r="CD46" s="199">
        <f>IFERROR(('B5'!AA89/(VLOOKUP(D5,Currency!$A$2:$D$33,3,FALSE))*100),0)</f>
        <v>0</v>
      </c>
      <c r="CE46" s="199">
        <f>IFERROR(('B5'!AB89/(VLOOKUP(D5,Currency!$A$2:$D$33,3,FALSE))*100),0)</f>
        <v>0</v>
      </c>
      <c r="CF46" s="181">
        <f t="shared" si="94"/>
        <v>0</v>
      </c>
    </row>
    <row r="47" spans="2:84" x14ac:dyDescent="0.2">
      <c r="B47" s="192" t="s">
        <v>96</v>
      </c>
      <c r="C47" s="119"/>
      <c r="D47" s="21">
        <f>IFERROR((Total!D40/(VLOOKUP(D5,Currency!$A$2:$D$33,3,FALSE))*100),0)</f>
        <v>0</v>
      </c>
      <c r="E47" s="21">
        <f>IFERROR((Total!E40/(VLOOKUP(D5,Currency!$A$2:$D$33,3,FALSE))*100),0)</f>
        <v>0</v>
      </c>
      <c r="F47" s="21">
        <f>IFERROR((Total!F40/(VLOOKUP(D5,Currency!$A$2:$D$33,3,FALSE))*100),0)</f>
        <v>0</v>
      </c>
      <c r="G47" s="21">
        <f>IFERROR((Total!G40/(VLOOKUP(D5,Currency!$A$2:$D$33,3,FALSE))*100),0)</f>
        <v>0</v>
      </c>
      <c r="H47" s="21">
        <f>IFERROR((Total!H40/(VLOOKUP(D5,Currency!$A$2:$D$33,3,FALSE))*100),0)</f>
        <v>0</v>
      </c>
      <c r="I47" s="21">
        <f>IFERROR((Total!I40/(VLOOKUP(D5,Currency!$A$2:$D$33,3,FALSE))*100),0)</f>
        <v>0</v>
      </c>
      <c r="J47" s="119">
        <f>IFERROR((Total!J40/(VLOOKUP(D5,Currency!$A$2:$D$33,3,FALSE))*100),0)</f>
        <v>0</v>
      </c>
      <c r="K47" s="21">
        <f>IFERROR((Total!K40/(VLOOKUP(D5,Currency!$A$2:$D$33,3,FALSE))*100),0)</f>
        <v>0</v>
      </c>
      <c r="L47" s="119">
        <f>IFERROR((Total!L40/(VLOOKUP(D5,Currency!$A$2:$D$33,3,FALSE))*100),0)</f>
        <v>0</v>
      </c>
      <c r="M47" s="119">
        <f>IFERROR((Total!M40/(VLOOKUP(D5,Currency!$A$2:$D$33,3,FALSE))*100),0)</f>
        <v>0</v>
      </c>
      <c r="N47" s="181">
        <f t="shared" si="89"/>
        <v>0</v>
      </c>
      <c r="P47" s="192" t="s">
        <v>96</v>
      </c>
      <c r="Q47" s="119"/>
      <c r="R47" s="21">
        <f>IFERROR(('B1'!S90/(VLOOKUP(D5,Currency!$A$2:$D$33,3,FALSE))*100),0)</f>
        <v>0</v>
      </c>
      <c r="S47" s="21">
        <f>IFERROR(('B1'!T90/(VLOOKUP(D5,Currency!$A$2:$D$33,3,FALSE))*100),0)</f>
        <v>0</v>
      </c>
      <c r="T47" s="21">
        <f>IFERROR(('B1'!U90/(VLOOKUP(D5,Currency!$A$2:$D$33,3,FALSE))*100),0)</f>
        <v>0</v>
      </c>
      <c r="U47" s="21">
        <f>IFERROR(('B1'!V90/(VLOOKUP(D5,Currency!$A$2:$D$33,3,FALSE))*100),0)</f>
        <v>0</v>
      </c>
      <c r="V47" s="21">
        <f>IFERROR(('B1'!W90/(VLOOKUP(D5,Currency!$A$2:$D$33,3,FALSE))*100),0)</f>
        <v>0</v>
      </c>
      <c r="W47" s="21">
        <f>IFERROR(('B1'!X90/(VLOOKUP(D5,Currency!$A$2:$D$33,3,FALSE))*100),0)</f>
        <v>0</v>
      </c>
      <c r="X47" s="119">
        <f>IFERROR(('B1'!Y90/(VLOOKUP(D5,Currency!$A$2:$D$33,3,FALSE))*100),0)</f>
        <v>0</v>
      </c>
      <c r="Y47" s="21">
        <f>IFERROR(('B1'!Z90/(VLOOKUP(D5,Currency!$A$2:$D$33,3,FALSE))*100),0)</f>
        <v>0</v>
      </c>
      <c r="Z47" s="119">
        <f>IFERROR(('B1'!AA90/(VLOOKUP(D5,Currency!$A$2:$D$33,3,FALSE))*100),0)</f>
        <v>0</v>
      </c>
      <c r="AA47" s="119">
        <f>IFERROR(('B1'!AB90/(VLOOKUP(D5,Currency!$A$2:$D$33,3,FALSE))*100),0)</f>
        <v>0</v>
      </c>
      <c r="AB47" s="181">
        <f t="shared" si="90"/>
        <v>0</v>
      </c>
      <c r="AD47" s="192" t="s">
        <v>96</v>
      </c>
      <c r="AE47" s="119"/>
      <c r="AF47" s="21">
        <f>IFERROR(('B2'!S90/(VLOOKUP(D5,Currency!$A$2:$D$33,3,FALSE))*100),0)</f>
        <v>0</v>
      </c>
      <c r="AG47" s="21">
        <f>IFERROR(('B2'!T90/(VLOOKUP(D5,Currency!$A$2:$D$33,3,FALSE))*100),0)</f>
        <v>0</v>
      </c>
      <c r="AH47" s="21">
        <f>IFERROR(('B2'!U90/(VLOOKUP(D5,Currency!$A$2:$D$33,3,FALSE))*100),0)</f>
        <v>0</v>
      </c>
      <c r="AI47" s="21">
        <f>IFERROR(('B2'!V90/(VLOOKUP(D5,Currency!$A$2:$D$33,3,FALSE))*100),0)</f>
        <v>0</v>
      </c>
      <c r="AJ47" s="21">
        <f>IFERROR(('B2'!W90/(VLOOKUP(D5,Currency!$A$2:$D$33,3,FALSE))*100),0)</f>
        <v>0</v>
      </c>
      <c r="AK47" s="21">
        <f>IFERROR(('B2'!X90/(VLOOKUP(D5,Currency!$A$2:$D$33,3,FALSE))*100),0)</f>
        <v>0</v>
      </c>
      <c r="AL47" s="119">
        <f>IFERROR(('B2'!Y90/(VLOOKUP(D5,Currency!$A$2:$D$33,3,FALSE))*100),0)</f>
        <v>0</v>
      </c>
      <c r="AM47" s="21">
        <f>IFERROR(('B2'!Z90/(VLOOKUP(D5,Currency!$A$2:$D$33,3,FALSE))*100),0)</f>
        <v>0</v>
      </c>
      <c r="AN47" s="119">
        <f>IFERROR(('B2'!AA90/(VLOOKUP(D5,Currency!$A$2:$D$33,3,FALSE))*100),0)</f>
        <v>0</v>
      </c>
      <c r="AO47" s="119">
        <f>IFERROR(('B2'!AB90/(VLOOKUP(D5,Currency!$A$2:$D$33,3,FALSE))*100),0)</f>
        <v>0</v>
      </c>
      <c r="AP47" s="181">
        <f t="shared" si="91"/>
        <v>0</v>
      </c>
      <c r="AR47" s="192" t="s">
        <v>96</v>
      </c>
      <c r="AS47" s="119"/>
      <c r="AT47" s="21">
        <f>IFERROR(('B3'!S90/(VLOOKUP(D5,Currency!$A$2:$D$33,3,FALSE))*100),0)</f>
        <v>0</v>
      </c>
      <c r="AU47" s="21">
        <f>IFERROR(('B3'!T90/(VLOOKUP(D5,Currency!$A$2:$D$33,3,FALSE))*100),0)</f>
        <v>0</v>
      </c>
      <c r="AV47" s="21">
        <f>IFERROR(('B3'!U90/(VLOOKUP(D5,Currency!$A$2:$D$33,3,FALSE))*100),0)</f>
        <v>0</v>
      </c>
      <c r="AW47" s="21">
        <f>IFERROR(('B3'!V90/(VLOOKUP(D5,Currency!$A$2:$D$33,3,FALSE))*100),0)</f>
        <v>0</v>
      </c>
      <c r="AX47" s="21">
        <f>IFERROR(('B3'!W90/(VLOOKUP(D5,Currency!$A$2:$D$33,3,FALSE))*100),0)</f>
        <v>0</v>
      </c>
      <c r="AY47" s="21">
        <f>IFERROR(('B3'!X90/(VLOOKUP(D5,Currency!$A$2:$D$33,3,FALSE))*100),0)</f>
        <v>0</v>
      </c>
      <c r="AZ47" s="119">
        <f>IFERROR(('B3'!Y90/(VLOOKUP(D5,Currency!$A$2:$D$33,3,FALSE))*100),0)</f>
        <v>0</v>
      </c>
      <c r="BA47" s="21">
        <f>IFERROR(('B3'!Z90/(VLOOKUP(D5,Currency!$A$2:$D$33,3,FALSE))*100),0)</f>
        <v>0</v>
      </c>
      <c r="BB47" s="119">
        <f>IFERROR(('B3'!AA90/(VLOOKUP(D5,Currency!$A$2:$D$33,3,FALSE))*100),0)</f>
        <v>0</v>
      </c>
      <c r="BC47" s="119">
        <f>IFERROR(('B3'!AB90/(VLOOKUP(D5,Currency!$A$2:$D$33,3,FALSE))*100),0)</f>
        <v>0</v>
      </c>
      <c r="BD47" s="181">
        <f t="shared" si="92"/>
        <v>0</v>
      </c>
      <c r="BF47" s="192" t="s">
        <v>96</v>
      </c>
      <c r="BG47" s="119"/>
      <c r="BH47" s="21">
        <f>IFERROR(('B4'!S90/(VLOOKUP(D5,Currency!$A$2:$D$33,3,FALSE))*100),0)</f>
        <v>0</v>
      </c>
      <c r="BI47" s="21">
        <f>IFERROR(('B4'!T90/(VLOOKUP(D5,Currency!$A$2:$D$33,3,FALSE))*100),0)</f>
        <v>0</v>
      </c>
      <c r="BJ47" s="21">
        <f>IFERROR(('B4'!U90/(VLOOKUP(D5,Currency!$A$2:$D$33,3,FALSE))*100),0)</f>
        <v>0</v>
      </c>
      <c r="BK47" s="21">
        <f>IFERROR(('B4'!V90/(VLOOKUP(D5,Currency!$A$2:$D$33,3,FALSE))*100),0)</f>
        <v>0</v>
      </c>
      <c r="BL47" s="21">
        <f>IFERROR(('B4'!W90/(VLOOKUP(D5,Currency!$A$2:$D$33,3,FALSE))*100),0)</f>
        <v>0</v>
      </c>
      <c r="BM47" s="21">
        <f>IFERROR(('B4'!X90/(VLOOKUP(D5,Currency!$A$2:$D$33,3,FALSE))*100),0)</f>
        <v>0</v>
      </c>
      <c r="BN47" s="119">
        <f>IFERROR(('B4'!Y90/(VLOOKUP(D5,Currency!$A$2:$D$33,3,FALSE))*100),0)</f>
        <v>0</v>
      </c>
      <c r="BO47" s="21">
        <f>IFERROR(('B4'!Z90/(VLOOKUP(D5,Currency!$A$2:$D$33,3,FALSE))*100),0)</f>
        <v>0</v>
      </c>
      <c r="BP47" s="119">
        <f>IFERROR(('B4'!AA90/(VLOOKUP(D5,Currency!$A$2:$D$33,3,FALSE))*100),0)</f>
        <v>0</v>
      </c>
      <c r="BQ47" s="119">
        <f>IFERROR(('B4'!AB90/(VLOOKUP(D5,Currency!$A$2:$D$33,3,FALSE))*100),0)</f>
        <v>0</v>
      </c>
      <c r="BR47" s="181">
        <f t="shared" si="93"/>
        <v>0</v>
      </c>
      <c r="BT47" s="192" t="s">
        <v>96</v>
      </c>
      <c r="BU47" s="119"/>
      <c r="BV47" s="21">
        <f>IFERROR(('B5'!S90/(VLOOKUP(D5,Currency!$A$2:$D$33,3,FALSE))*100),0)</f>
        <v>0</v>
      </c>
      <c r="BW47" s="21">
        <f>IFERROR(('B5'!T90/(VLOOKUP(D5,Currency!$A$2:$D$33,3,FALSE))*100),0)</f>
        <v>0</v>
      </c>
      <c r="BX47" s="21">
        <f>IFERROR(('B5'!U90/(VLOOKUP(D5,Currency!$A$2:$D$33,3,FALSE))*100),0)</f>
        <v>0</v>
      </c>
      <c r="BY47" s="21">
        <f>IFERROR(('B5'!V90/(VLOOKUP(D5,Currency!$A$2:$D$33,3,FALSE))*100),0)</f>
        <v>0</v>
      </c>
      <c r="BZ47" s="21">
        <f>IFERROR(('B5'!W90/(VLOOKUP(D5,Currency!$A$2:$D$33,3,FALSE))*100),0)</f>
        <v>0</v>
      </c>
      <c r="CA47" s="21">
        <f>IFERROR(('B5'!X90/(VLOOKUP(D5,Currency!$A$2:$D$33,3,FALSE))*100),0)</f>
        <v>0</v>
      </c>
      <c r="CB47" s="119">
        <f>IFERROR(('B5'!Y90/(VLOOKUP(D5,Currency!$A$2:$D$33,3,FALSE))*100),0)</f>
        <v>0</v>
      </c>
      <c r="CC47" s="21">
        <f>IFERROR(('B5'!Z90/(VLOOKUP(D5,Currency!$A$2:$D$33,3,FALSE))*100),0)</f>
        <v>0</v>
      </c>
      <c r="CD47" s="119">
        <f>IFERROR(('B5'!AA90/(VLOOKUP(D5,Currency!$A$2:$D$33,3,FALSE))*100),0)</f>
        <v>0</v>
      </c>
      <c r="CE47" s="119">
        <f>IFERROR(('B5'!AB90/(VLOOKUP(D5,Currency!$A$2:$D$33,3,FALSE))*100),0)</f>
        <v>0</v>
      </c>
      <c r="CF47" s="181">
        <f t="shared" si="94"/>
        <v>0</v>
      </c>
    </row>
    <row r="48" spans="2:84" x14ac:dyDescent="0.2">
      <c r="B48" s="192" t="s">
        <v>108</v>
      </c>
      <c r="C48" s="119"/>
      <c r="D48" s="21">
        <f>IFERROR((Total!D41/(VLOOKUP(D5,Currency!$A$2:$D$33,3,FALSE))*100),0)</f>
        <v>0</v>
      </c>
      <c r="E48" s="21">
        <f>IFERROR((Total!E41/(VLOOKUP(D5,Currency!$A$2:$D$33,3,FALSE))*100),0)</f>
        <v>0</v>
      </c>
      <c r="F48" s="21">
        <f>IFERROR((Total!F41/(VLOOKUP(D5,Currency!$A$2:$D$33,3,FALSE))*100),0)</f>
        <v>0</v>
      </c>
      <c r="G48" s="21">
        <f>IFERROR((Total!G41/(VLOOKUP(D5,Currency!$A$2:$D$33,3,FALSE))*100),0)</f>
        <v>0</v>
      </c>
      <c r="H48" s="21">
        <f>IFERROR((Total!H41/(VLOOKUP(D5,Currency!$A$2:$D$33,3,FALSE))*100),0)</f>
        <v>0</v>
      </c>
      <c r="I48" s="21">
        <f>IFERROR((Total!I41/(VLOOKUP(D5,Currency!$A$2:$D$33,3,FALSE))*100),0)</f>
        <v>0</v>
      </c>
      <c r="J48" s="21">
        <f>IFERROR((Total!J41/(VLOOKUP(D5,Currency!$A$2:$D$33,3,FALSE))*100),0)</f>
        <v>0</v>
      </c>
      <c r="K48" s="21">
        <f>IFERROR((Total!K41/(VLOOKUP(D5,Currency!$A$2:$D$33,3,FALSE))*100),0)</f>
        <v>0</v>
      </c>
      <c r="L48" s="119">
        <f>IFERROR((Total!L41/(VLOOKUP(D5,Currency!$A$2:$D$33,3,FALSE))*100),0)</f>
        <v>0</v>
      </c>
      <c r="M48" s="119">
        <f>IFERROR((Total!M41/(VLOOKUP(D5,Currency!$A$2:$D$33,3,FALSE))*100),0)</f>
        <v>0</v>
      </c>
      <c r="N48" s="181">
        <f t="shared" si="89"/>
        <v>0</v>
      </c>
      <c r="P48" s="192" t="s">
        <v>108</v>
      </c>
      <c r="Q48" s="119"/>
      <c r="R48" s="21">
        <f>IFERROR(('B1'!S91/(VLOOKUP(D5,Currency!$A$2:$D$33,3,FALSE))*100),0)</f>
        <v>0</v>
      </c>
      <c r="S48" s="21">
        <f>IFERROR(('B1'!T91/(VLOOKUP(D5,Currency!$A$2:$D$33,3,FALSE))*100),0)</f>
        <v>0</v>
      </c>
      <c r="T48" s="21">
        <f>IFERROR(('B1'!U91/(VLOOKUP(D5,Currency!$A$2:$D$33,3,FALSE))*100),0)</f>
        <v>0</v>
      </c>
      <c r="U48" s="21">
        <f>IFERROR(('B1'!V91/(VLOOKUP(D5,Currency!$A$2:$D$33,3,FALSE))*100),0)</f>
        <v>0</v>
      </c>
      <c r="V48" s="21">
        <f>IFERROR(('B1'!W91/(VLOOKUP(D5,Currency!$A$2:$D$33,3,FALSE))*100),0)</f>
        <v>0</v>
      </c>
      <c r="W48" s="21">
        <f>IFERROR(('B1'!X91/(VLOOKUP(D5,Currency!$A$2:$D$33,3,FALSE))*100),0)</f>
        <v>0</v>
      </c>
      <c r="X48" s="21">
        <f>IFERROR(('B1'!Y91/(VLOOKUP(D5,Currency!$A$2:$D$33,3,FALSE))*100),0)</f>
        <v>0</v>
      </c>
      <c r="Y48" s="21">
        <f>IFERROR(('B1'!Z91/(VLOOKUP(D5,Currency!$A$2:$D$33,3,FALSE))*100),0)</f>
        <v>0</v>
      </c>
      <c r="Z48" s="119">
        <f>IFERROR(('B1'!AA91/(VLOOKUP(D5,Currency!$A$2:$D$33,3,FALSE))*100),0)</f>
        <v>0</v>
      </c>
      <c r="AA48" s="119">
        <f>IFERROR(('B1'!AB91/(VLOOKUP(D5,Currency!$A$2:$D$33,3,FALSE))*100),0)</f>
        <v>0</v>
      </c>
      <c r="AB48" s="181">
        <f t="shared" si="90"/>
        <v>0</v>
      </c>
      <c r="AD48" s="192" t="s">
        <v>108</v>
      </c>
      <c r="AE48" s="119"/>
      <c r="AF48" s="21">
        <f>IFERROR(('B2'!S91/(VLOOKUP(D5,Currency!$A$2:$D$33,3,FALSE))*100),0)</f>
        <v>0</v>
      </c>
      <c r="AG48" s="21">
        <f>IFERROR(('B2'!T91/(VLOOKUP(D5,Currency!$A$2:$D$33,3,FALSE))*100),0)</f>
        <v>0</v>
      </c>
      <c r="AH48" s="21">
        <f>IFERROR(('B2'!U91/(VLOOKUP(D5,Currency!$A$2:$D$33,3,FALSE))*100),0)</f>
        <v>0</v>
      </c>
      <c r="AI48" s="21">
        <f>IFERROR(('B2'!V91/(VLOOKUP(D5,Currency!$A$2:$D$33,3,FALSE))*100),0)</f>
        <v>0</v>
      </c>
      <c r="AJ48" s="21">
        <f>IFERROR(('B2'!W91/(VLOOKUP(D5,Currency!$A$2:$D$33,3,FALSE))*100),0)</f>
        <v>0</v>
      </c>
      <c r="AK48" s="21">
        <f>IFERROR(('B2'!X91/(VLOOKUP(D5,Currency!$A$2:$D$33,3,FALSE))*100),0)</f>
        <v>0</v>
      </c>
      <c r="AL48" s="21">
        <f>IFERROR(('B2'!Y91/(VLOOKUP(D5,Currency!$A$2:$D$33,3,FALSE))*100),0)</f>
        <v>0</v>
      </c>
      <c r="AM48" s="21">
        <f>IFERROR(('B2'!Z91/(VLOOKUP(D5,Currency!$A$2:$D$33,3,FALSE))*100),0)</f>
        <v>0</v>
      </c>
      <c r="AN48" s="119">
        <f>IFERROR(('B2'!AA91/(VLOOKUP(D5,Currency!$A$2:$D$33,3,FALSE))*100),0)</f>
        <v>0</v>
      </c>
      <c r="AO48" s="119">
        <f>IFERROR(('B2'!AB91/(VLOOKUP(D5,Currency!$A$2:$D$33,3,FALSE))*100),0)</f>
        <v>0</v>
      </c>
      <c r="AP48" s="181">
        <f t="shared" si="91"/>
        <v>0</v>
      </c>
      <c r="AR48" s="192" t="s">
        <v>108</v>
      </c>
      <c r="AS48" s="119"/>
      <c r="AT48" s="21">
        <f>IFERROR(('B3'!S91/(VLOOKUP(D5,Currency!$A$2:$D$33,3,FALSE))*100),0)</f>
        <v>0</v>
      </c>
      <c r="AU48" s="21">
        <f>IFERROR(('B3'!T91/(VLOOKUP(D5,Currency!$A$2:$D$33,3,FALSE))*100),0)</f>
        <v>0</v>
      </c>
      <c r="AV48" s="21">
        <f>IFERROR(('B3'!U91/(VLOOKUP(D5,Currency!$A$2:$D$33,3,FALSE))*100),0)</f>
        <v>0</v>
      </c>
      <c r="AW48" s="21">
        <f>IFERROR(('B3'!V91/(VLOOKUP(D5,Currency!$A$2:$D$33,3,FALSE))*100),0)</f>
        <v>0</v>
      </c>
      <c r="AX48" s="21">
        <f>IFERROR(('B3'!W91/(VLOOKUP(D5,Currency!$A$2:$D$33,3,FALSE))*100),0)</f>
        <v>0</v>
      </c>
      <c r="AY48" s="21">
        <f>IFERROR(('B3'!X91/(VLOOKUP(D5,Currency!$A$2:$D$33,3,FALSE))*100),0)</f>
        <v>0</v>
      </c>
      <c r="AZ48" s="21">
        <f>IFERROR(('B3'!Y91/(VLOOKUP(D5,Currency!$A$2:$D$33,3,FALSE))*100),0)</f>
        <v>0</v>
      </c>
      <c r="BA48" s="21">
        <f>IFERROR(('B3'!Z91/(VLOOKUP(D5,Currency!$A$2:$D$33,3,FALSE))*100),0)</f>
        <v>0</v>
      </c>
      <c r="BB48" s="119">
        <f>IFERROR(('B3'!AA91/(VLOOKUP(D5,Currency!$A$2:$D$33,3,FALSE))*100),0)</f>
        <v>0</v>
      </c>
      <c r="BC48" s="119">
        <f>IFERROR(('B3'!AB91/(VLOOKUP(D5,Currency!$A$2:$D$33,3,FALSE))*100),0)</f>
        <v>0</v>
      </c>
      <c r="BD48" s="181">
        <f t="shared" si="92"/>
        <v>0</v>
      </c>
      <c r="BF48" s="192" t="s">
        <v>108</v>
      </c>
      <c r="BG48" s="119"/>
      <c r="BH48" s="21">
        <f>IFERROR(('B4'!S91/(VLOOKUP(D5,Currency!$A$2:$D$33,3,FALSE))*100),0)</f>
        <v>0</v>
      </c>
      <c r="BI48" s="21">
        <f>IFERROR(('B4'!T91/(VLOOKUP(D5,Currency!$A$2:$D$33,3,FALSE))*100),0)</f>
        <v>0</v>
      </c>
      <c r="BJ48" s="21">
        <f>IFERROR(('B4'!U91/(VLOOKUP(D5,Currency!$A$2:$D$33,3,FALSE))*100),0)</f>
        <v>0</v>
      </c>
      <c r="BK48" s="21">
        <f>IFERROR(('B4'!V91/(VLOOKUP(D5,Currency!$A$2:$D$33,3,FALSE))*100),0)</f>
        <v>0</v>
      </c>
      <c r="BL48" s="21">
        <f>IFERROR(('B4'!W91/(VLOOKUP(D5,Currency!$A$2:$D$33,3,FALSE))*100),0)</f>
        <v>0</v>
      </c>
      <c r="BM48" s="21">
        <f>IFERROR(('B4'!X91/(VLOOKUP(D5,Currency!$A$2:$D$33,3,FALSE))*100),0)</f>
        <v>0</v>
      </c>
      <c r="BN48" s="21">
        <f>IFERROR(('B4'!Y91/(VLOOKUP(D5,Currency!$A$2:$D$33,3,FALSE))*100),0)</f>
        <v>0</v>
      </c>
      <c r="BO48" s="21">
        <f>IFERROR(('B4'!Z91/(VLOOKUP(D5,Currency!$A$2:$D$33,3,FALSE))*100),0)</f>
        <v>0</v>
      </c>
      <c r="BP48" s="119">
        <f>IFERROR(('B4'!AA91/(VLOOKUP(D5,Currency!$A$2:$D$33,3,FALSE))*100),0)</f>
        <v>0</v>
      </c>
      <c r="BQ48" s="119">
        <f>IFERROR(('B4'!AB91/(VLOOKUP(D5,Currency!$A$2:$D$33,3,FALSE))*100),0)</f>
        <v>0</v>
      </c>
      <c r="BR48" s="181">
        <f t="shared" si="93"/>
        <v>0</v>
      </c>
      <c r="BT48" s="192" t="s">
        <v>108</v>
      </c>
      <c r="BU48" s="119"/>
      <c r="BV48" s="21">
        <f>IFERROR(('B5'!S91/(VLOOKUP(D5,Currency!$A$2:$D$33,3,FALSE))*100),0)</f>
        <v>0</v>
      </c>
      <c r="BW48" s="21">
        <f>IFERROR(('B5'!T91/(VLOOKUP(D5,Currency!$A$2:$D$33,3,FALSE))*100),0)</f>
        <v>0</v>
      </c>
      <c r="BX48" s="21">
        <f>IFERROR(('B5'!U91/(VLOOKUP(D5,Currency!$A$2:$D$33,3,FALSE))*100),0)</f>
        <v>0</v>
      </c>
      <c r="BY48" s="21">
        <f>IFERROR(('B5'!V91/(VLOOKUP(D5,Currency!$A$2:$D$33,3,FALSE))*100),0)</f>
        <v>0</v>
      </c>
      <c r="BZ48" s="21">
        <f>IFERROR(('B5'!W91/(VLOOKUP(D5,Currency!$A$2:$D$33,3,FALSE))*100),0)</f>
        <v>0</v>
      </c>
      <c r="CA48" s="21">
        <f>IFERROR(('B5'!X91/(VLOOKUP(D5,Currency!$A$2:$D$33,3,FALSE))*100),0)</f>
        <v>0</v>
      </c>
      <c r="CB48" s="21">
        <f>IFERROR(('B5'!Y91/(VLOOKUP(D5,Currency!$A$2:$D$33,3,FALSE))*100),0)</f>
        <v>0</v>
      </c>
      <c r="CC48" s="21">
        <f>IFERROR(('B5'!Z91/(VLOOKUP(D5,Currency!$A$2:$D$33,3,FALSE))*100),0)</f>
        <v>0</v>
      </c>
      <c r="CD48" s="119">
        <f>IFERROR(('B5'!AA91/(VLOOKUP(D5,Currency!$A$2:$D$33,3,FALSE))*100),0)</f>
        <v>0</v>
      </c>
      <c r="CE48" s="119">
        <f>IFERROR(('B5'!AB91/(VLOOKUP(D5,Currency!$A$2:$D$33,3,FALSE))*100),0)</f>
        <v>0</v>
      </c>
      <c r="CF48" s="181">
        <f t="shared" si="94"/>
        <v>0</v>
      </c>
    </row>
    <row r="49" spans="2:84" x14ac:dyDescent="0.2">
      <c r="B49" s="191" t="s">
        <v>545</v>
      </c>
      <c r="C49" s="119"/>
      <c r="D49" s="21">
        <f>IFERROR((Total!D42/(VLOOKUP(D5,Currency!$A$2:$D$33,3,FALSE))*100),0)</f>
        <v>0</v>
      </c>
      <c r="E49" s="21">
        <f>IFERROR((Total!E42/(VLOOKUP(D5,Currency!$A$2:$D$33,3,FALSE))*100),0)</f>
        <v>0</v>
      </c>
      <c r="F49" s="21">
        <f>IFERROR((Total!F42/(VLOOKUP(D5,Currency!$A$2:$D$33,3,FALSE))*100),0)</f>
        <v>0</v>
      </c>
      <c r="G49" s="21">
        <f>IFERROR((Total!G42/(VLOOKUP(D5,Currency!$A$2:$D$33,3,FALSE))*100),0)</f>
        <v>0</v>
      </c>
      <c r="H49" s="21">
        <f>IFERROR((Total!H42/(VLOOKUP(D5,Currency!$A$2:$D$33,3,FALSE))*100),0)</f>
        <v>0</v>
      </c>
      <c r="I49" s="21">
        <f>IFERROR((Total!I42/(VLOOKUP(D5,Currency!$A$2:$D$33,3,FALSE))*100),0)</f>
        <v>0</v>
      </c>
      <c r="J49" s="21">
        <f>IFERROR((Total!J42/(VLOOKUP(D5,Currency!$A$2:$D$33,3,FALSE))*100),0)</f>
        <v>0</v>
      </c>
      <c r="K49" s="21">
        <f>IFERROR((Total!K42/(VLOOKUP(D5,Currency!$A$2:$D$33,3,FALSE))*100),0)</f>
        <v>0</v>
      </c>
      <c r="L49" s="119">
        <f>IFERROR((Total!L42/(VLOOKUP(D5,Currency!$A$2:$D$33,3,FALSE))*100),0)</f>
        <v>0</v>
      </c>
      <c r="M49" s="119">
        <f>IFERROR((Total!M42/(VLOOKUP(D5,Currency!$A$2:$D$33,3,FALSE))*100),0)</f>
        <v>0</v>
      </c>
      <c r="N49" s="181">
        <f t="shared" si="89"/>
        <v>0</v>
      </c>
      <c r="P49" s="191" t="s">
        <v>545</v>
      </c>
      <c r="Q49" s="119"/>
      <c r="R49" s="21">
        <f>IFERROR(('B1'!S92/(VLOOKUP(D5,Currency!$A$2:$D$33,3,FALSE))*100),0)</f>
        <v>0</v>
      </c>
      <c r="S49" s="21">
        <f>IFERROR(('B1'!T92/(VLOOKUP(D5,Currency!$A$2:$D$33,3,FALSE))*100),0)</f>
        <v>0</v>
      </c>
      <c r="T49" s="21">
        <f>IFERROR(('B1'!U92/(VLOOKUP(D5,Currency!$A$2:$D$33,3,FALSE))*100),0)</f>
        <v>0</v>
      </c>
      <c r="U49" s="21">
        <f>IFERROR(('B1'!V92/(VLOOKUP(D5,Currency!$A$2:$D$33,3,FALSE))*100),0)</f>
        <v>0</v>
      </c>
      <c r="V49" s="21">
        <f>IFERROR(('B1'!W92/(VLOOKUP(D5,Currency!$A$2:$D$33,3,FALSE))*100),0)</f>
        <v>0</v>
      </c>
      <c r="W49" s="21">
        <f>IFERROR(('B1'!X92/(VLOOKUP(D5,Currency!$A$2:$D$33,3,FALSE))*100),0)</f>
        <v>0</v>
      </c>
      <c r="X49" s="21">
        <f>IFERROR(('B1'!Y92/(VLOOKUP(D5,Currency!$A$2:$D$33,3,FALSE))*100),0)</f>
        <v>0</v>
      </c>
      <c r="Y49" s="21">
        <f>IFERROR(('B1'!Z92/(VLOOKUP(D5,Currency!$A$2:$D$33,3,FALSE))*100),0)</f>
        <v>0</v>
      </c>
      <c r="Z49" s="119">
        <f>IFERROR(('B1'!AA92/(VLOOKUP(D5,Currency!$A$2:$D$33,3,FALSE))*100),0)</f>
        <v>0</v>
      </c>
      <c r="AA49" s="119">
        <f>IFERROR(('B1'!AB92/(VLOOKUP(D5,Currency!$A$2:$D$33,3,FALSE))*100),0)</f>
        <v>0</v>
      </c>
      <c r="AB49" s="181">
        <f t="shared" si="90"/>
        <v>0</v>
      </c>
      <c r="AD49" s="191" t="s">
        <v>545</v>
      </c>
      <c r="AE49" s="119"/>
      <c r="AF49" s="21">
        <f>IFERROR(('B2'!S92/(VLOOKUP(D5,Currency!$A$2:$D$33,3,FALSE))*100),0)</f>
        <v>0</v>
      </c>
      <c r="AG49" s="21">
        <f>IFERROR(('B2'!T92/(VLOOKUP(D5,Currency!$A$2:$D$33,3,FALSE))*100),0)</f>
        <v>0</v>
      </c>
      <c r="AH49" s="21">
        <f>IFERROR(('B2'!U92/(VLOOKUP(D5,Currency!$A$2:$D$33,3,FALSE))*100),0)</f>
        <v>0</v>
      </c>
      <c r="AI49" s="21">
        <f>IFERROR(('B2'!V92/(VLOOKUP(D5,Currency!$A$2:$D$33,3,FALSE))*100),0)</f>
        <v>0</v>
      </c>
      <c r="AJ49" s="21">
        <f>IFERROR(('B2'!W92/(VLOOKUP(D5,Currency!$A$2:$D$33,3,FALSE))*100),0)</f>
        <v>0</v>
      </c>
      <c r="AK49" s="21">
        <f>IFERROR(('B2'!X92/(VLOOKUP(D5,Currency!$A$2:$D$33,3,FALSE))*100),0)</f>
        <v>0</v>
      </c>
      <c r="AL49" s="21">
        <f>IFERROR(('B2'!Y92/(VLOOKUP(D5,Currency!$A$2:$D$33,3,FALSE))*100),0)</f>
        <v>0</v>
      </c>
      <c r="AM49" s="21">
        <f>IFERROR(('B2'!Z92/(VLOOKUP(D5,Currency!$A$2:$D$33,3,FALSE))*100),0)</f>
        <v>0</v>
      </c>
      <c r="AN49" s="119">
        <f>IFERROR(('B2'!AA92/(VLOOKUP(D5,Currency!$A$2:$D$33,3,FALSE))*100),0)</f>
        <v>0</v>
      </c>
      <c r="AO49" s="119">
        <f>IFERROR(('B2'!AB92/(VLOOKUP(D5,Currency!$A$2:$D$33,3,FALSE))*100),0)</f>
        <v>0</v>
      </c>
      <c r="AP49" s="181">
        <f t="shared" si="91"/>
        <v>0</v>
      </c>
      <c r="AR49" s="191" t="s">
        <v>545</v>
      </c>
      <c r="AS49" s="119"/>
      <c r="AT49" s="21">
        <f>IFERROR(('B3'!S92/(VLOOKUP(D5,Currency!$A$2:$D$33,3,FALSE))*100),0)</f>
        <v>0</v>
      </c>
      <c r="AU49" s="21">
        <f>IFERROR(('B3'!T92/(VLOOKUP(D5,Currency!$A$2:$D$33,3,FALSE))*100),0)</f>
        <v>0</v>
      </c>
      <c r="AV49" s="21">
        <f>IFERROR(('B3'!U92/(VLOOKUP(D5,Currency!$A$2:$D$33,3,FALSE))*100),0)</f>
        <v>0</v>
      </c>
      <c r="AW49" s="21">
        <f>IFERROR(('B3'!V92/(VLOOKUP(D5,Currency!$A$2:$D$33,3,FALSE))*100),0)</f>
        <v>0</v>
      </c>
      <c r="AX49" s="21">
        <f>IFERROR(('B3'!W92/(VLOOKUP(D5,Currency!$A$2:$D$33,3,FALSE))*100),0)</f>
        <v>0</v>
      </c>
      <c r="AY49" s="21">
        <f>IFERROR(('B3'!X92/(VLOOKUP(D5,Currency!$A$2:$D$33,3,FALSE))*100),0)</f>
        <v>0</v>
      </c>
      <c r="AZ49" s="21">
        <f>IFERROR(('B3'!Y92/(VLOOKUP(D5,Currency!$A$2:$D$33,3,FALSE))*100),0)</f>
        <v>0</v>
      </c>
      <c r="BA49" s="21">
        <f>IFERROR(('B3'!Z92/(VLOOKUP(D5,Currency!$A$2:$D$33,3,FALSE))*100),0)</f>
        <v>0</v>
      </c>
      <c r="BB49" s="119">
        <f>IFERROR(('B3'!AA92/(VLOOKUP(D5,Currency!$A$2:$D$33,3,FALSE))*100),0)</f>
        <v>0</v>
      </c>
      <c r="BC49" s="119">
        <f>IFERROR(('B3'!AB92/(VLOOKUP(D5,Currency!$A$2:$D$33,3,FALSE))*100),0)</f>
        <v>0</v>
      </c>
      <c r="BD49" s="181">
        <f t="shared" si="92"/>
        <v>0</v>
      </c>
      <c r="BF49" s="191" t="s">
        <v>545</v>
      </c>
      <c r="BG49" s="119"/>
      <c r="BH49" s="21">
        <f>IFERROR(('B4'!S92/(VLOOKUP(D5,Currency!$A$2:$D$33,3,FALSE))*100),0)</f>
        <v>0</v>
      </c>
      <c r="BI49" s="21">
        <f>IFERROR(('B4'!T92/(VLOOKUP(D5,Currency!$A$2:$D$33,3,FALSE))*100),0)</f>
        <v>0</v>
      </c>
      <c r="BJ49" s="21">
        <f>IFERROR(('B4'!U92/(VLOOKUP(D5,Currency!$A$2:$D$33,3,FALSE))*100),0)</f>
        <v>0</v>
      </c>
      <c r="BK49" s="21">
        <f>IFERROR(('B4'!V92/(VLOOKUP(D5,Currency!$A$2:$D$33,3,FALSE))*100),0)</f>
        <v>0</v>
      </c>
      <c r="BL49" s="21">
        <f>IFERROR(('B4'!W92/(VLOOKUP(D5,Currency!$A$2:$D$33,3,FALSE))*100),0)</f>
        <v>0</v>
      </c>
      <c r="BM49" s="21">
        <f>IFERROR(('B4'!X92/(VLOOKUP(D5,Currency!$A$2:$D$33,3,FALSE))*100),0)</f>
        <v>0</v>
      </c>
      <c r="BN49" s="21">
        <f>IFERROR(('B4'!Y92/(VLOOKUP(D5,Currency!$A$2:$D$33,3,FALSE))*100),0)</f>
        <v>0</v>
      </c>
      <c r="BO49" s="21">
        <f>IFERROR(('B4'!Z92/(VLOOKUP(D5,Currency!$A$2:$D$33,3,FALSE))*100),0)</f>
        <v>0</v>
      </c>
      <c r="BP49" s="119">
        <f>IFERROR(('B4'!AA92/(VLOOKUP(D5,Currency!$A$2:$D$33,3,FALSE))*100),0)</f>
        <v>0</v>
      </c>
      <c r="BQ49" s="119">
        <f>IFERROR(('B4'!AB92/(VLOOKUP(D5,Currency!$A$2:$D$33,3,FALSE))*100),0)</f>
        <v>0</v>
      </c>
      <c r="BR49" s="181">
        <f t="shared" si="93"/>
        <v>0</v>
      </c>
      <c r="BT49" s="191" t="s">
        <v>545</v>
      </c>
      <c r="BU49" s="119"/>
      <c r="BV49" s="21">
        <f>IFERROR(('B5'!S92/(VLOOKUP(D5,Currency!$A$2:$D$33,3,FALSE))*100),0)</f>
        <v>0</v>
      </c>
      <c r="BW49" s="21">
        <f>IFERROR(('B5'!T92/(VLOOKUP(D5,Currency!$A$2:$D$33,3,FALSE))*100),0)</f>
        <v>0</v>
      </c>
      <c r="BX49" s="21">
        <f>IFERROR(('B5'!U92/(VLOOKUP(D5,Currency!$A$2:$D$33,3,FALSE))*100),0)</f>
        <v>0</v>
      </c>
      <c r="BY49" s="21">
        <f>IFERROR(('B5'!V92/(VLOOKUP(D5,Currency!$A$2:$D$33,3,FALSE))*100),0)</f>
        <v>0</v>
      </c>
      <c r="BZ49" s="21">
        <f>IFERROR(('B5'!W92/(VLOOKUP(D5,Currency!$A$2:$D$33,3,FALSE))*100),0)</f>
        <v>0</v>
      </c>
      <c r="CA49" s="21">
        <f>IFERROR(('B5'!X92/(VLOOKUP(D5,Currency!$A$2:$D$33,3,FALSE))*100),0)</f>
        <v>0</v>
      </c>
      <c r="CB49" s="21">
        <f>IFERROR(('B5'!Y92/(VLOOKUP(D5,Currency!$A$2:$D$33,3,FALSE))*100),0)</f>
        <v>0</v>
      </c>
      <c r="CC49" s="21">
        <f>IFERROR(('B5'!Z92/(VLOOKUP(D5,Currency!$A$2:$D$33,3,FALSE))*100),0)</f>
        <v>0</v>
      </c>
      <c r="CD49" s="119">
        <f>IFERROR(('B5'!AA92/(VLOOKUP(D5,Currency!$A$2:$D$33,3,FALSE))*100),0)</f>
        <v>0</v>
      </c>
      <c r="CE49" s="119">
        <f>IFERROR(('B5'!AB92/(VLOOKUP(D5,Currency!$A$2:$D$33,3,FALSE))*100),0)</f>
        <v>0</v>
      </c>
      <c r="CF49" s="181">
        <f t="shared" si="94"/>
        <v>0</v>
      </c>
    </row>
    <row r="50" spans="2:84" ht="15" thickBot="1" x14ac:dyDescent="0.25">
      <c r="B50" s="193" t="s">
        <v>101</v>
      </c>
      <c r="C50" s="194"/>
      <c r="D50" s="152">
        <f>+SUM(D45:D49)</f>
        <v>0</v>
      </c>
      <c r="E50" s="152">
        <f t="shared" ref="E50:K50" si="95">+SUM(E45:E49)</f>
        <v>0</v>
      </c>
      <c r="F50" s="152">
        <f t="shared" si="95"/>
        <v>0</v>
      </c>
      <c r="G50" s="152">
        <f t="shared" si="95"/>
        <v>0</v>
      </c>
      <c r="H50" s="152">
        <f t="shared" si="95"/>
        <v>0</v>
      </c>
      <c r="I50" s="152">
        <f t="shared" si="95"/>
        <v>0</v>
      </c>
      <c r="J50" s="152">
        <f t="shared" si="95"/>
        <v>0</v>
      </c>
      <c r="K50" s="152">
        <f t="shared" si="95"/>
        <v>0</v>
      </c>
      <c r="L50" s="194">
        <f t="shared" ref="L50:M50" si="96">+SUM(L45:L49)</f>
        <v>0</v>
      </c>
      <c r="M50" s="194">
        <f t="shared" si="96"/>
        <v>0</v>
      </c>
      <c r="N50" s="182">
        <f t="shared" si="89"/>
        <v>0</v>
      </c>
      <c r="P50" s="193" t="s">
        <v>101</v>
      </c>
      <c r="Q50" s="194"/>
      <c r="R50" s="152">
        <f>+SUM(R45:R49)</f>
        <v>0</v>
      </c>
      <c r="S50" s="152">
        <f t="shared" ref="S50:Y50" si="97">+SUM(S45:S49)</f>
        <v>0</v>
      </c>
      <c r="T50" s="152">
        <f t="shared" si="97"/>
        <v>0</v>
      </c>
      <c r="U50" s="152">
        <f t="shared" si="97"/>
        <v>0</v>
      </c>
      <c r="V50" s="152">
        <f t="shared" si="97"/>
        <v>0</v>
      </c>
      <c r="W50" s="152">
        <f t="shared" si="97"/>
        <v>0</v>
      </c>
      <c r="X50" s="152">
        <f t="shared" si="97"/>
        <v>0</v>
      </c>
      <c r="Y50" s="152">
        <f t="shared" si="97"/>
        <v>0</v>
      </c>
      <c r="Z50" s="194">
        <f t="shared" ref="Z50:AA50" si="98">+SUM(Z45:Z49)</f>
        <v>0</v>
      </c>
      <c r="AA50" s="194">
        <f t="shared" si="98"/>
        <v>0</v>
      </c>
      <c r="AB50" s="182">
        <f t="shared" si="90"/>
        <v>0</v>
      </c>
      <c r="AD50" s="193" t="s">
        <v>101</v>
      </c>
      <c r="AE50" s="194"/>
      <c r="AF50" s="152">
        <f>+SUM(AF45:AF49)</f>
        <v>0</v>
      </c>
      <c r="AG50" s="152">
        <f t="shared" ref="AG50:AM50" si="99">+SUM(AG45:AG49)</f>
        <v>0</v>
      </c>
      <c r="AH50" s="152">
        <f t="shared" si="99"/>
        <v>0</v>
      </c>
      <c r="AI50" s="152">
        <f t="shared" si="99"/>
        <v>0</v>
      </c>
      <c r="AJ50" s="152">
        <f t="shared" si="99"/>
        <v>0</v>
      </c>
      <c r="AK50" s="152">
        <f t="shared" si="99"/>
        <v>0</v>
      </c>
      <c r="AL50" s="152">
        <f t="shared" si="99"/>
        <v>0</v>
      </c>
      <c r="AM50" s="152">
        <f t="shared" si="99"/>
        <v>0</v>
      </c>
      <c r="AN50" s="194">
        <f t="shared" ref="AN50:AO50" si="100">+SUM(AN45:AN49)</f>
        <v>0</v>
      </c>
      <c r="AO50" s="194">
        <f t="shared" si="100"/>
        <v>0</v>
      </c>
      <c r="AP50" s="182">
        <f t="shared" si="91"/>
        <v>0</v>
      </c>
      <c r="AR50" s="193" t="s">
        <v>101</v>
      </c>
      <c r="AS50" s="194"/>
      <c r="AT50" s="152">
        <f>+SUM(AT45:AT49)</f>
        <v>0</v>
      </c>
      <c r="AU50" s="152">
        <f t="shared" ref="AU50:BA50" si="101">+SUM(AU45:AU49)</f>
        <v>0</v>
      </c>
      <c r="AV50" s="152">
        <f t="shared" si="101"/>
        <v>0</v>
      </c>
      <c r="AW50" s="152">
        <f t="shared" si="101"/>
        <v>0</v>
      </c>
      <c r="AX50" s="152">
        <f t="shared" si="101"/>
        <v>0</v>
      </c>
      <c r="AY50" s="152">
        <f t="shared" si="101"/>
        <v>0</v>
      </c>
      <c r="AZ50" s="152">
        <f t="shared" si="101"/>
        <v>0</v>
      </c>
      <c r="BA50" s="152">
        <f t="shared" si="101"/>
        <v>0</v>
      </c>
      <c r="BB50" s="194">
        <f t="shared" ref="BB50:BC50" si="102">+SUM(BB45:BB49)</f>
        <v>0</v>
      </c>
      <c r="BC50" s="194">
        <f t="shared" si="102"/>
        <v>0</v>
      </c>
      <c r="BD50" s="182">
        <f t="shared" si="92"/>
        <v>0</v>
      </c>
      <c r="BF50" s="193" t="s">
        <v>101</v>
      </c>
      <c r="BG50" s="194"/>
      <c r="BH50" s="152">
        <f>+SUM(BH45:BH49)</f>
        <v>0</v>
      </c>
      <c r="BI50" s="152">
        <f t="shared" ref="BI50:BO50" si="103">+SUM(BI45:BI49)</f>
        <v>0</v>
      </c>
      <c r="BJ50" s="152">
        <f t="shared" si="103"/>
        <v>0</v>
      </c>
      <c r="BK50" s="152">
        <f t="shared" si="103"/>
        <v>0</v>
      </c>
      <c r="BL50" s="152">
        <f t="shared" si="103"/>
        <v>0</v>
      </c>
      <c r="BM50" s="152">
        <f t="shared" si="103"/>
        <v>0</v>
      </c>
      <c r="BN50" s="152">
        <f t="shared" si="103"/>
        <v>0</v>
      </c>
      <c r="BO50" s="152">
        <f t="shared" si="103"/>
        <v>0</v>
      </c>
      <c r="BP50" s="194">
        <f t="shared" ref="BP50:BQ50" si="104">+SUM(BP45:BP49)</f>
        <v>0</v>
      </c>
      <c r="BQ50" s="194">
        <f t="shared" si="104"/>
        <v>0</v>
      </c>
      <c r="BR50" s="182">
        <f t="shared" si="93"/>
        <v>0</v>
      </c>
      <c r="BT50" s="193" t="s">
        <v>101</v>
      </c>
      <c r="BU50" s="194"/>
      <c r="BV50" s="152">
        <f>+SUM(BV45:BV49)</f>
        <v>0</v>
      </c>
      <c r="BW50" s="152">
        <f t="shared" ref="BW50:CC50" si="105">+SUM(BW45:BW49)</f>
        <v>0</v>
      </c>
      <c r="BX50" s="152">
        <f t="shared" si="105"/>
        <v>0</v>
      </c>
      <c r="BY50" s="152">
        <f t="shared" si="105"/>
        <v>0</v>
      </c>
      <c r="BZ50" s="152">
        <f t="shared" si="105"/>
        <v>0</v>
      </c>
      <c r="CA50" s="152">
        <f t="shared" si="105"/>
        <v>0</v>
      </c>
      <c r="CB50" s="152">
        <f t="shared" si="105"/>
        <v>0</v>
      </c>
      <c r="CC50" s="152">
        <f t="shared" si="105"/>
        <v>0</v>
      </c>
      <c r="CD50" s="194">
        <f t="shared" ref="CD50:CE50" si="106">+SUM(CD45:CD49)</f>
        <v>0</v>
      </c>
      <c r="CE50" s="194">
        <f t="shared" si="106"/>
        <v>0</v>
      </c>
      <c r="CF50" s="182">
        <f t="shared" si="94"/>
        <v>0</v>
      </c>
    </row>
    <row r="51" spans="2:84" ht="15" thickBot="1" x14ac:dyDescent="0.25"/>
    <row r="52" spans="2:84" ht="18" x14ac:dyDescent="0.25">
      <c r="B52" s="186" t="s">
        <v>152</v>
      </c>
      <c r="C52" s="201"/>
      <c r="D52" s="201"/>
      <c r="E52" s="201"/>
      <c r="F52" s="201"/>
      <c r="G52" s="201"/>
      <c r="H52" s="201"/>
      <c r="I52" s="201"/>
      <c r="J52" s="201"/>
      <c r="K52" s="201"/>
      <c r="L52" s="201"/>
      <c r="M52" s="201"/>
      <c r="N52" s="184"/>
      <c r="P52" s="186" t="s">
        <v>152</v>
      </c>
      <c r="Q52" s="201"/>
      <c r="R52" s="201"/>
      <c r="S52" s="201"/>
      <c r="T52" s="201"/>
      <c r="U52" s="201"/>
      <c r="V52" s="201"/>
      <c r="W52" s="201"/>
      <c r="X52" s="201"/>
      <c r="Y52" s="201"/>
      <c r="Z52" s="201"/>
      <c r="AA52" s="201"/>
      <c r="AB52" s="184"/>
      <c r="AD52" s="186" t="s">
        <v>152</v>
      </c>
      <c r="AE52" s="201"/>
      <c r="AF52" s="201"/>
      <c r="AG52" s="201"/>
      <c r="AH52" s="201"/>
      <c r="AI52" s="201"/>
      <c r="AJ52" s="201"/>
      <c r="AK52" s="201"/>
      <c r="AL52" s="201"/>
      <c r="AM52" s="201"/>
      <c r="AN52" s="201"/>
      <c r="AO52" s="201"/>
      <c r="AP52" s="184"/>
      <c r="AR52" s="186" t="s">
        <v>152</v>
      </c>
      <c r="AS52" s="201"/>
      <c r="AT52" s="201"/>
      <c r="AU52" s="201"/>
      <c r="AV52" s="201"/>
      <c r="AW52" s="201"/>
      <c r="AX52" s="201"/>
      <c r="AY52" s="201"/>
      <c r="AZ52" s="201"/>
      <c r="BA52" s="201"/>
      <c r="BB52" s="201"/>
      <c r="BC52" s="201"/>
      <c r="BD52" s="184"/>
      <c r="BF52" s="186" t="s">
        <v>152</v>
      </c>
      <c r="BG52" s="201"/>
      <c r="BH52" s="201"/>
      <c r="BI52" s="201"/>
      <c r="BJ52" s="201"/>
      <c r="BK52" s="201"/>
      <c r="BL52" s="201"/>
      <c r="BM52" s="201"/>
      <c r="BN52" s="201"/>
      <c r="BO52" s="201"/>
      <c r="BP52" s="201"/>
      <c r="BQ52" s="201"/>
      <c r="BR52" s="184"/>
      <c r="BT52" s="186" t="s">
        <v>152</v>
      </c>
      <c r="BU52" s="201"/>
      <c r="BV52" s="201"/>
      <c r="BW52" s="201"/>
      <c r="BX52" s="201"/>
      <c r="BY52" s="201"/>
      <c r="BZ52" s="201"/>
      <c r="CA52" s="201"/>
      <c r="CB52" s="201"/>
      <c r="CC52" s="201"/>
      <c r="CD52" s="201"/>
      <c r="CE52" s="201"/>
      <c r="CF52" s="184"/>
    </row>
    <row r="53" spans="2:84" ht="18" x14ac:dyDescent="0.25">
      <c r="B53" s="202"/>
      <c r="C53" s="16"/>
      <c r="D53" s="16"/>
      <c r="E53" s="195"/>
      <c r="F53" s="195"/>
      <c r="G53" s="195"/>
      <c r="H53" s="195"/>
      <c r="I53" s="195"/>
      <c r="J53" s="195"/>
      <c r="K53" s="195"/>
      <c r="L53" s="195"/>
      <c r="M53" s="195"/>
      <c r="N53" s="178"/>
      <c r="P53" s="202"/>
      <c r="Q53" s="16"/>
      <c r="R53" s="16"/>
      <c r="S53" s="195"/>
      <c r="T53" s="195"/>
      <c r="U53" s="195"/>
      <c r="V53" s="195"/>
      <c r="W53" s="195"/>
      <c r="X53" s="195"/>
      <c r="Y53" s="195"/>
      <c r="Z53" s="195"/>
      <c r="AA53" s="195"/>
      <c r="AB53" s="178"/>
      <c r="AD53" s="202"/>
      <c r="AE53" s="16"/>
      <c r="AF53" s="16"/>
      <c r="AG53" s="195"/>
      <c r="AH53" s="195"/>
      <c r="AI53" s="195"/>
      <c r="AJ53" s="195"/>
      <c r="AK53" s="195"/>
      <c r="AL53" s="195"/>
      <c r="AM53" s="195"/>
      <c r="AN53" s="195"/>
      <c r="AO53" s="195"/>
      <c r="AP53" s="178"/>
      <c r="AR53" s="202"/>
      <c r="AS53" s="16"/>
      <c r="AT53" s="16"/>
      <c r="AU53" s="195"/>
      <c r="AV53" s="195"/>
      <c r="AW53" s="195"/>
      <c r="AX53" s="195"/>
      <c r="AY53" s="195"/>
      <c r="AZ53" s="195"/>
      <c r="BA53" s="195"/>
      <c r="BB53" s="195"/>
      <c r="BC53" s="195"/>
      <c r="BD53" s="178"/>
      <c r="BF53" s="202"/>
      <c r="BG53" s="16"/>
      <c r="BH53" s="16"/>
      <c r="BI53" s="195"/>
      <c r="BJ53" s="195"/>
      <c r="BK53" s="195"/>
      <c r="BL53" s="195"/>
      <c r="BM53" s="195"/>
      <c r="BN53" s="195"/>
      <c r="BO53" s="195"/>
      <c r="BP53" s="195"/>
      <c r="BQ53" s="195"/>
      <c r="BR53" s="178"/>
      <c r="BT53" s="202"/>
      <c r="BU53" s="16"/>
      <c r="BV53" s="16"/>
      <c r="BW53" s="195"/>
      <c r="BX53" s="195"/>
      <c r="BY53" s="195"/>
      <c r="BZ53" s="195"/>
      <c r="CA53" s="195"/>
      <c r="CB53" s="195"/>
      <c r="CC53" s="195"/>
      <c r="CD53" s="195"/>
      <c r="CE53" s="195"/>
      <c r="CF53" s="178"/>
    </row>
    <row r="54" spans="2:84" x14ac:dyDescent="0.2">
      <c r="B54" s="161" t="str">
        <f>+$D$5</f>
        <v>EUR</v>
      </c>
      <c r="C54" s="4"/>
      <c r="D54" s="8">
        <f>+D40</f>
        <v>2025</v>
      </c>
      <c r="E54" s="8">
        <f t="shared" ref="E54:M54" si="107">+E40</f>
        <v>2026</v>
      </c>
      <c r="F54" s="8">
        <f t="shared" si="107"/>
        <v>2027</v>
      </c>
      <c r="G54" s="8">
        <f t="shared" si="107"/>
        <v>2028</v>
      </c>
      <c r="H54" s="8">
        <f t="shared" si="107"/>
        <v>2029</v>
      </c>
      <c r="I54" s="8">
        <f t="shared" si="107"/>
        <v>2030</v>
      </c>
      <c r="J54" s="8">
        <f t="shared" si="107"/>
        <v>2031</v>
      </c>
      <c r="K54" s="8">
        <f t="shared" si="107"/>
        <v>2032</v>
      </c>
      <c r="L54" s="8">
        <f t="shared" si="107"/>
        <v>2033</v>
      </c>
      <c r="M54" s="8">
        <f t="shared" si="107"/>
        <v>2034</v>
      </c>
      <c r="N54" s="133" t="s">
        <v>34</v>
      </c>
      <c r="P54" s="161" t="str">
        <f>+$D$5</f>
        <v>EUR</v>
      </c>
      <c r="Q54" s="4"/>
      <c r="R54" s="8">
        <f>+R40</f>
        <v>2025</v>
      </c>
      <c r="S54" s="8">
        <f t="shared" ref="S54:AA54" si="108">+S40</f>
        <v>2026</v>
      </c>
      <c r="T54" s="8">
        <f t="shared" si="108"/>
        <v>2027</v>
      </c>
      <c r="U54" s="8">
        <f t="shared" si="108"/>
        <v>2028</v>
      </c>
      <c r="V54" s="8">
        <f t="shared" si="108"/>
        <v>2029</v>
      </c>
      <c r="W54" s="8">
        <f t="shared" si="108"/>
        <v>2030</v>
      </c>
      <c r="X54" s="8">
        <f t="shared" si="108"/>
        <v>2031</v>
      </c>
      <c r="Y54" s="8">
        <f t="shared" si="108"/>
        <v>2032</v>
      </c>
      <c r="Z54" s="8">
        <f t="shared" si="108"/>
        <v>2033</v>
      </c>
      <c r="AA54" s="8">
        <f t="shared" si="108"/>
        <v>2034</v>
      </c>
      <c r="AB54" s="133" t="s">
        <v>34</v>
      </c>
      <c r="AD54" s="161" t="str">
        <f>+$D$5</f>
        <v>EUR</v>
      </c>
      <c r="AE54" s="4"/>
      <c r="AF54" s="8">
        <f>+AF40</f>
        <v>2025</v>
      </c>
      <c r="AG54" s="8">
        <f t="shared" ref="AG54:AO54" si="109">+AG40</f>
        <v>2026</v>
      </c>
      <c r="AH54" s="8">
        <f t="shared" si="109"/>
        <v>2027</v>
      </c>
      <c r="AI54" s="8">
        <f t="shared" si="109"/>
        <v>2028</v>
      </c>
      <c r="AJ54" s="8">
        <f t="shared" si="109"/>
        <v>2029</v>
      </c>
      <c r="AK54" s="8">
        <f t="shared" si="109"/>
        <v>2030</v>
      </c>
      <c r="AL54" s="8">
        <f t="shared" si="109"/>
        <v>2031</v>
      </c>
      <c r="AM54" s="8">
        <f t="shared" si="109"/>
        <v>2032</v>
      </c>
      <c r="AN54" s="8">
        <f t="shared" si="109"/>
        <v>2033</v>
      </c>
      <c r="AO54" s="8">
        <f t="shared" si="109"/>
        <v>2034</v>
      </c>
      <c r="AP54" s="133" t="s">
        <v>34</v>
      </c>
      <c r="AR54" s="161" t="str">
        <f>+$D$5</f>
        <v>EUR</v>
      </c>
      <c r="AS54" s="4"/>
      <c r="AT54" s="8">
        <f>+AT40</f>
        <v>2025</v>
      </c>
      <c r="AU54" s="8">
        <f t="shared" ref="AU54:BC54" si="110">+AU40</f>
        <v>2026</v>
      </c>
      <c r="AV54" s="8">
        <f t="shared" si="110"/>
        <v>2027</v>
      </c>
      <c r="AW54" s="8">
        <f t="shared" si="110"/>
        <v>2028</v>
      </c>
      <c r="AX54" s="8">
        <f t="shared" si="110"/>
        <v>2029</v>
      </c>
      <c r="AY54" s="8">
        <f t="shared" si="110"/>
        <v>2030</v>
      </c>
      <c r="AZ54" s="8">
        <f t="shared" si="110"/>
        <v>2031</v>
      </c>
      <c r="BA54" s="8">
        <f t="shared" si="110"/>
        <v>2032</v>
      </c>
      <c r="BB54" s="8">
        <f t="shared" si="110"/>
        <v>2033</v>
      </c>
      <c r="BC54" s="8">
        <f t="shared" si="110"/>
        <v>2034</v>
      </c>
      <c r="BD54" s="133" t="s">
        <v>34</v>
      </c>
      <c r="BF54" s="161" t="str">
        <f>+$D$5</f>
        <v>EUR</v>
      </c>
      <c r="BG54" s="4"/>
      <c r="BH54" s="8">
        <f>+BH40</f>
        <v>2025</v>
      </c>
      <c r="BI54" s="8">
        <f t="shared" ref="BI54:BQ54" si="111">+BI40</f>
        <v>2026</v>
      </c>
      <c r="BJ54" s="8">
        <f t="shared" si="111"/>
        <v>2027</v>
      </c>
      <c r="BK54" s="8">
        <f t="shared" si="111"/>
        <v>2028</v>
      </c>
      <c r="BL54" s="8">
        <f t="shared" si="111"/>
        <v>2029</v>
      </c>
      <c r="BM54" s="8">
        <f t="shared" si="111"/>
        <v>2030</v>
      </c>
      <c r="BN54" s="8">
        <f t="shared" si="111"/>
        <v>2031</v>
      </c>
      <c r="BO54" s="8">
        <f t="shared" si="111"/>
        <v>2032</v>
      </c>
      <c r="BP54" s="8">
        <f t="shared" si="111"/>
        <v>2033</v>
      </c>
      <c r="BQ54" s="8">
        <f t="shared" si="111"/>
        <v>2034</v>
      </c>
      <c r="BR54" s="133" t="s">
        <v>34</v>
      </c>
      <c r="BT54" s="161" t="str">
        <f>+$D$5</f>
        <v>EUR</v>
      </c>
      <c r="BU54" s="4"/>
      <c r="BV54" s="8">
        <f>+BV40</f>
        <v>2025</v>
      </c>
      <c r="BW54" s="8">
        <f t="shared" ref="BW54:CE54" si="112">+BW40</f>
        <v>2026</v>
      </c>
      <c r="BX54" s="8">
        <f t="shared" si="112"/>
        <v>2027</v>
      </c>
      <c r="BY54" s="8">
        <f t="shared" si="112"/>
        <v>2028</v>
      </c>
      <c r="BZ54" s="8">
        <f t="shared" si="112"/>
        <v>2029</v>
      </c>
      <c r="CA54" s="8">
        <f t="shared" si="112"/>
        <v>2030</v>
      </c>
      <c r="CB54" s="8">
        <f t="shared" si="112"/>
        <v>2031</v>
      </c>
      <c r="CC54" s="8">
        <f t="shared" si="112"/>
        <v>2032</v>
      </c>
      <c r="CD54" s="8">
        <f t="shared" si="112"/>
        <v>2033</v>
      </c>
      <c r="CE54" s="8">
        <f t="shared" si="112"/>
        <v>2034</v>
      </c>
      <c r="CF54" s="133" t="s">
        <v>34</v>
      </c>
    </row>
    <row r="55" spans="2:84" x14ac:dyDescent="0.2">
      <c r="B55" s="189" t="s">
        <v>74</v>
      </c>
      <c r="C55" s="120"/>
      <c r="D55" s="28">
        <f>IFERROR((Total!D48/(VLOOKUP(D5,Currency!$A$2:$D$33,3,FALSE))*100),0)</f>
        <v>0</v>
      </c>
      <c r="E55" s="120">
        <f>IFERROR((Total!E48/(VLOOKUP(D5,Currency!$A$2:$D$33,3,FALSE))*100),0)</f>
        <v>51783.751909726881</v>
      </c>
      <c r="F55" s="28">
        <f>IFERROR((Total!F48/(VLOOKUP(D5,Currency!$A$2:$D$33,3,FALSE))*100),0)</f>
        <v>53351.738186496565</v>
      </c>
      <c r="G55" s="120">
        <f>IFERROR((Total!G48/(VLOOKUP(D5,Currency!$A$2:$D$33,3,FALSE))*100),0)</f>
        <v>55000.134015921096</v>
      </c>
      <c r="H55" s="28">
        <f>IFERROR((Total!H48/(VLOOKUP(D5,Currency!$A$2:$D$33,3,FALSE))*100),0)</f>
        <v>56688.734621673066</v>
      </c>
      <c r="I55" s="120">
        <f>IFERROR((Total!I48/(VLOOKUP(D5,Currency!$A$2:$D$33,3,FALSE))*100),0)</f>
        <v>0</v>
      </c>
      <c r="J55" s="28">
        <f>IFERROR((Total!J48/(VLOOKUP(D5,Currency!$A$2:$D$33,3,FALSE))*100),0)</f>
        <v>0</v>
      </c>
      <c r="K55" s="28">
        <f>IFERROR((Total!K48/(VLOOKUP(D5,Currency!$A$2:$D$33,3,FALSE))*100),0)</f>
        <v>0</v>
      </c>
      <c r="L55" s="120">
        <f>IFERROR((Total!L48/(VLOOKUP(D5,Currency!$A$2:$D$33,3,FALSE))*100),0)</f>
        <v>0</v>
      </c>
      <c r="M55" s="120">
        <f>IFERROR((Total!M48/(VLOOKUP(D5,Currency!$A$2:$D$33,3,FALSE))*100),0)</f>
        <v>0</v>
      </c>
      <c r="N55" s="179">
        <f>SUM(D55:K55)</f>
        <v>216824.35873381761</v>
      </c>
      <c r="P55" s="189" t="s">
        <v>74</v>
      </c>
      <c r="Q55" s="120"/>
      <c r="R55" s="28">
        <f>IFERROR(('B1'!S98/(VLOOKUP(D5,Currency!$A$2:$D$33,3,FALSE))*100),0)</f>
        <v>0</v>
      </c>
      <c r="S55" s="120">
        <f>IFERROR(('B1'!T98/(VLOOKUP(D5,Currency!$A$2:$D$33,3,FALSE))*100),0)</f>
        <v>51783.751909726881</v>
      </c>
      <c r="T55" s="28">
        <f>IFERROR(('B1'!U98/(VLOOKUP(D5,Currency!$A$2:$D$33,3,FALSE))*100),0)</f>
        <v>53351.738186496565</v>
      </c>
      <c r="U55" s="120">
        <f>IFERROR(('B1'!V98/(VLOOKUP(D5,Currency!$A$2:$D$33,3,FALSE))*100),0)</f>
        <v>55000.134015921096</v>
      </c>
      <c r="V55" s="28">
        <f>IFERROR(('B1'!W98/(VLOOKUP(D5,Currency!$A$2:$D$33,3,FALSE))*100),0)</f>
        <v>56688.734621673066</v>
      </c>
      <c r="W55" s="120">
        <f>IFERROR(('B1'!X98/(VLOOKUP(D5,Currency!$A$2:$D$33,3,FALSE))*100),0)</f>
        <v>0</v>
      </c>
      <c r="X55" s="28">
        <f>IFERROR(('B1'!Y98/(VLOOKUP(D5,Currency!$A$2:$D$33,3,FALSE))*100),0)</f>
        <v>0</v>
      </c>
      <c r="Y55" s="28">
        <f>IFERROR(('B1'!Z98/(VLOOKUP(D5,Currency!$A$2:$D$33,3,FALSE))*100),0)</f>
        <v>0</v>
      </c>
      <c r="Z55" s="120">
        <f>IFERROR(('B1'!AA98/(VLOOKUP(D5,Currency!$A$2:$D$33,3,FALSE))*100),0)</f>
        <v>0</v>
      </c>
      <c r="AA55" s="120">
        <f>IFERROR(('B1'!AB98/(VLOOKUP(D5,Currency!$A$2:$D$33,3,FALSE))*100),0)</f>
        <v>0</v>
      </c>
      <c r="AB55" s="179">
        <f>SUM(R55:Y55)</f>
        <v>216824.35873381761</v>
      </c>
      <c r="AD55" s="189" t="s">
        <v>74</v>
      </c>
      <c r="AE55" s="120"/>
      <c r="AF55" s="28">
        <f>IFERROR(('B2'!S98/(VLOOKUP(D5,Currency!$A$2:$D$33,3,FALSE))*100),0)</f>
        <v>0</v>
      </c>
      <c r="AG55" s="120">
        <f>IFERROR(('B2'!T98/(VLOOKUP(D5,Currency!$A$2:$D$33,3,FALSE))*100),0)</f>
        <v>0</v>
      </c>
      <c r="AH55" s="28">
        <f>IFERROR(('B2'!U98/(VLOOKUP(D5,Currency!$A$2:$D$33,3,FALSE))*100),0)</f>
        <v>0</v>
      </c>
      <c r="AI55" s="120">
        <f>IFERROR(('B2'!V98/(VLOOKUP(D5,Currency!$A$2:$D$33,3,FALSE))*100),0)</f>
        <v>0</v>
      </c>
      <c r="AJ55" s="28">
        <f>IFERROR(('B2'!W98/(VLOOKUP(D5,Currency!$A$2:$D$33,3,FALSE))*100),0)</f>
        <v>0</v>
      </c>
      <c r="AK55" s="120">
        <f>IFERROR(('B2'!X98/(VLOOKUP(D5,Currency!$A$2:$D$33,3,FALSE))*100),0)</f>
        <v>0</v>
      </c>
      <c r="AL55" s="28">
        <f>IFERROR(('B2'!Y98/(VLOOKUP(D5,Currency!$A$2:$D$33,3,FALSE))*100),0)</f>
        <v>0</v>
      </c>
      <c r="AM55" s="28">
        <f>IFERROR(('B2'!Z98/(VLOOKUP(D5,Currency!$A$2:$D$33,3,FALSE))*100),0)</f>
        <v>0</v>
      </c>
      <c r="AN55" s="120">
        <f>IFERROR(('B2'!AA98/(VLOOKUP(D5,Currency!$A$2:$D$33,3,FALSE))*100),0)</f>
        <v>0</v>
      </c>
      <c r="AO55" s="120">
        <f>IFERROR(('B2'!AB98/(VLOOKUP(D5,Currency!$A$2:$D$33,3,FALSE))*100),0)</f>
        <v>0</v>
      </c>
      <c r="AP55" s="179">
        <f>SUM(AF55:AM55)</f>
        <v>0</v>
      </c>
      <c r="AR55" s="189" t="s">
        <v>74</v>
      </c>
      <c r="AS55" s="120"/>
      <c r="AT55" s="28">
        <f>IFERROR(('B3'!S98/(VLOOKUP(D5,Currency!$A$2:$D$33,3,FALSE))*100),0)</f>
        <v>0</v>
      </c>
      <c r="AU55" s="120">
        <f>IFERROR(('B3'!T98/(VLOOKUP(D5,Currency!$A$2:$D$33,3,FALSE))*100),0)</f>
        <v>0</v>
      </c>
      <c r="AV55" s="28">
        <f>IFERROR(('B3'!U98/(VLOOKUP(D5,Currency!$A$2:$D$33,3,FALSE))*100),0)</f>
        <v>0</v>
      </c>
      <c r="AW55" s="120">
        <f>IFERROR(('B3'!V98/(VLOOKUP(D5,Currency!$A$2:$D$33,3,FALSE))*100),0)</f>
        <v>0</v>
      </c>
      <c r="AX55" s="28">
        <f>IFERROR(('B3'!W98/(VLOOKUP(D5,Currency!$A$2:$D$33,3,FALSE))*100),0)</f>
        <v>0</v>
      </c>
      <c r="AY55" s="120">
        <f>IFERROR(('B3'!X98/(VLOOKUP(D5,Currency!$A$2:$D$33,3,FALSE))*100),0)</f>
        <v>0</v>
      </c>
      <c r="AZ55" s="28">
        <f>IFERROR(('B3'!Y98/(VLOOKUP(D5,Currency!$A$2:$D$33,3,FALSE))*100),0)</f>
        <v>0</v>
      </c>
      <c r="BA55" s="28">
        <f>IFERROR(('B3'!Z98/(VLOOKUP(D5,Currency!$A$2:$D$33,3,FALSE))*100),0)</f>
        <v>0</v>
      </c>
      <c r="BB55" s="120">
        <f>IFERROR(('B3'!AA98/(VLOOKUP(D5,Currency!$A$2:$D$33,3,FALSE))*100),0)</f>
        <v>0</v>
      </c>
      <c r="BC55" s="120">
        <f>IFERROR(('B3'!AB98/(VLOOKUP(D5,Currency!$A$2:$D$33,3,FALSE))*100),0)</f>
        <v>0</v>
      </c>
      <c r="BD55" s="179">
        <f>SUM(AT55:BA55)</f>
        <v>0</v>
      </c>
      <c r="BF55" s="189" t="s">
        <v>74</v>
      </c>
      <c r="BG55" s="120"/>
      <c r="BH55" s="28">
        <f>IFERROR(('B4'!S98/(VLOOKUP(D5,Currency!$A$2:$D$33,3,FALSE))*100),0)</f>
        <v>0</v>
      </c>
      <c r="BI55" s="120">
        <f>IFERROR(('B4'!T98/(VLOOKUP(D5,Currency!$A$2:$D$33,3,FALSE))*100),0)</f>
        <v>0</v>
      </c>
      <c r="BJ55" s="28">
        <f>IFERROR(('B4'!U98/(VLOOKUP(D5,Currency!$A$2:$D$33,3,FALSE))*100),0)</f>
        <v>0</v>
      </c>
      <c r="BK55" s="120">
        <f>IFERROR(('B4'!V98/(VLOOKUP(D5,Currency!$A$2:$D$33,3,FALSE))*100),0)</f>
        <v>0</v>
      </c>
      <c r="BL55" s="28">
        <f>IFERROR(('B4'!W98/(VLOOKUP(D5,Currency!$A$2:$D$33,3,FALSE))*100),0)</f>
        <v>0</v>
      </c>
      <c r="BM55" s="120">
        <f>IFERROR(('B4'!X98/(VLOOKUP(D5,Currency!$A$2:$D$33,3,FALSE))*100),0)</f>
        <v>0</v>
      </c>
      <c r="BN55" s="28">
        <f>IFERROR(('B4'!Y98/(VLOOKUP(D5,Currency!$A$2:$D$33,3,FALSE))*100),0)</f>
        <v>0</v>
      </c>
      <c r="BO55" s="28">
        <f>IFERROR(('B4'!Z98/(VLOOKUP(D5,Currency!$A$2:$D$33,3,FALSE))*100),0)</f>
        <v>0</v>
      </c>
      <c r="BP55" s="120">
        <f>IFERROR(('B4'!AA98/(VLOOKUP(D5,Currency!$A$2:$D$33,3,FALSE))*100),0)</f>
        <v>0</v>
      </c>
      <c r="BQ55" s="120">
        <f>IFERROR(('B4'!AB98/(VLOOKUP(D5,Currency!$A$2:$D$33,3,FALSE))*100),0)</f>
        <v>0</v>
      </c>
      <c r="BR55" s="179">
        <f>SUM(BH55:BO55)</f>
        <v>0</v>
      </c>
      <c r="BT55" s="189" t="s">
        <v>74</v>
      </c>
      <c r="BU55" s="120"/>
      <c r="BV55" s="28">
        <f>IFERROR(('B5'!S98/(VLOOKUP(D5,Currency!$A$2:$D$33,3,FALSE))*100),0)</f>
        <v>0</v>
      </c>
      <c r="BW55" s="120">
        <f>IFERROR(('B5'!T98/(VLOOKUP(D5,Currency!$A$2:$D$33,3,FALSE))*100),0)</f>
        <v>0</v>
      </c>
      <c r="BX55" s="28">
        <f>IFERROR(('B5'!U98/(VLOOKUP(D5,Currency!$A$2:$D$33,3,FALSE))*100),0)</f>
        <v>0</v>
      </c>
      <c r="BY55" s="120">
        <f>IFERROR(('B5'!V98/(VLOOKUP(D5,Currency!$A$2:$D$33,3,FALSE))*100),0)</f>
        <v>0</v>
      </c>
      <c r="BZ55" s="28">
        <f>IFERROR(('B5'!W98/(VLOOKUP(D5,Currency!$A$2:$D$33,3,FALSE))*100),0)</f>
        <v>0</v>
      </c>
      <c r="CA55" s="120">
        <f>IFERROR(('B5'!X98/(VLOOKUP(D5,Currency!$A$2:$D$33,3,FALSE))*100),0)</f>
        <v>0</v>
      </c>
      <c r="CB55" s="28">
        <f>IFERROR(('B5'!Y98/(VLOOKUP(D5,Currency!$A$2:$D$33,3,FALSE))*100),0)</f>
        <v>0</v>
      </c>
      <c r="CC55" s="28">
        <f>IFERROR(('B5'!Z98/(VLOOKUP(D5,Currency!$A$2:$D$33,3,FALSE))*100),0)</f>
        <v>0</v>
      </c>
      <c r="CD55" s="120">
        <f>IFERROR(('B5'!AA98/(VLOOKUP(D5,Currency!$A$2:$D$33,3,FALSE))*100),0)</f>
        <v>0</v>
      </c>
      <c r="CE55" s="120">
        <f>IFERROR(('B5'!AB98/(VLOOKUP(D5,Currency!$A$2:$D$33,3,FALSE))*100),0)</f>
        <v>0</v>
      </c>
      <c r="CF55" s="179">
        <f>SUM(BV55:CC55)</f>
        <v>0</v>
      </c>
    </row>
    <row r="56" spans="2:84" x14ac:dyDescent="0.2">
      <c r="B56" s="161" t="s">
        <v>75</v>
      </c>
      <c r="C56" s="121"/>
      <c r="D56" s="122">
        <f>IFERROR((Total!D49/(VLOOKUP(D5,Currency!$A$2:$D$33,3,FALSE))*100),0)</f>
        <v>0</v>
      </c>
      <c r="E56" s="121">
        <f>IFERROR((Total!E49/(VLOOKUP(D5,Currency!$A$2:$D$33,3,FALSE))*100),0)</f>
        <v>0</v>
      </c>
      <c r="F56" s="122">
        <f>IFERROR((Total!F49/(VLOOKUP(D5,Currency!$A$2:$D$33,3,FALSE))*100),0)</f>
        <v>0</v>
      </c>
      <c r="G56" s="121">
        <f>IFERROR((Total!G49/(VLOOKUP(D5,Currency!$A$2:$D$33,3,FALSE))*100),0)</f>
        <v>0</v>
      </c>
      <c r="H56" s="122">
        <f>IFERROR((Total!H49/(VLOOKUP(D5,Currency!$A$2:$D$33,3,FALSE))*100),0)</f>
        <v>0</v>
      </c>
      <c r="I56" s="121">
        <f>IFERROR((Total!I49/(VLOOKUP(D5,Currency!$A$2:$D$33,3,FALSE))*100),0)</f>
        <v>0</v>
      </c>
      <c r="J56" s="122">
        <f>IFERROR((Total!J49/(VLOOKUP(D5,Currency!$A$2:$D$33,3,FALSE))*100),0)</f>
        <v>0</v>
      </c>
      <c r="K56" s="122">
        <f>IFERROR((Total!K49/(VLOOKUP(D5,Currency!$A$2:$D$33,3,FALSE))*100),0)</f>
        <v>0</v>
      </c>
      <c r="L56" s="121">
        <f>IFERROR((Total!L49/(VLOOKUP(D5,Currency!$A$2:$D$33,3,FALSE))*100),0)</f>
        <v>0</v>
      </c>
      <c r="M56" s="121">
        <f>IFERROR((Total!M49/(VLOOKUP(D5,Currency!$A$2:$D$33,3,FALSE))*100),0)</f>
        <v>0</v>
      </c>
      <c r="N56" s="180">
        <f t="shared" ref="N56:N64" si="113">SUM(D56:K56)</f>
        <v>0</v>
      </c>
      <c r="P56" s="161" t="s">
        <v>75</v>
      </c>
      <c r="Q56" s="121"/>
      <c r="R56" s="122">
        <f>IFERROR(('B1'!S99/(VLOOKUP(D5,Currency!$A$2:$D$33,3,FALSE))*100),0)</f>
        <v>0</v>
      </c>
      <c r="S56" s="121">
        <f>IFERROR(('B1'!T99/(VLOOKUP(D5,Currency!$A$2:$D$33,3,FALSE))*100),0)</f>
        <v>0</v>
      </c>
      <c r="T56" s="122">
        <f>IFERROR(('B1'!U99/(VLOOKUP(D5,Currency!$A$2:$D$33,3,FALSE))*100),0)</f>
        <v>0</v>
      </c>
      <c r="U56" s="121">
        <f>IFERROR(('B1'!V99/(VLOOKUP(D5,Currency!$A$2:$D$33,3,FALSE))*100),0)</f>
        <v>0</v>
      </c>
      <c r="V56" s="122">
        <f>IFERROR(('B1'!W99/(VLOOKUP(D5,Currency!$A$2:$D$33,3,FALSE))*100),0)</f>
        <v>0</v>
      </c>
      <c r="W56" s="121">
        <f>IFERROR(('B1'!X99/(VLOOKUP(D5,Currency!$A$2:$D$33,3,FALSE))*100),0)</f>
        <v>0</v>
      </c>
      <c r="X56" s="122">
        <f>IFERROR(('B1'!Y99/(VLOOKUP(D5,Currency!$A$2:$D$33,3,FALSE))*100),0)</f>
        <v>0</v>
      </c>
      <c r="Y56" s="122">
        <f>IFERROR(('B1'!Z99/(VLOOKUP(D5,Currency!$A$2:$D$33,3,FALSE))*100),0)</f>
        <v>0</v>
      </c>
      <c r="Z56" s="121">
        <f>IFERROR(('B1'!AA99/(VLOOKUP(D5,Currency!$A$2:$D$33,3,FALSE))*100),0)</f>
        <v>0</v>
      </c>
      <c r="AA56" s="121">
        <f>IFERROR(('B1'!AB99/(VLOOKUP(D5,Currency!$A$2:$D$33,3,FALSE))*100),0)</f>
        <v>0</v>
      </c>
      <c r="AB56" s="180">
        <f t="shared" ref="AB56:AB64" si="114">SUM(R56:Y56)</f>
        <v>0</v>
      </c>
      <c r="AD56" s="161" t="s">
        <v>75</v>
      </c>
      <c r="AE56" s="121"/>
      <c r="AF56" s="122">
        <f>IFERROR(('B2'!S99/(VLOOKUP(D5,Currency!$A$2:$D$33,3,FALSE))*100),0)</f>
        <v>0</v>
      </c>
      <c r="AG56" s="121">
        <f>IFERROR(('B2'!T99/(VLOOKUP(D5,Currency!$A$2:$D$33,3,FALSE))*100),0)</f>
        <v>0</v>
      </c>
      <c r="AH56" s="122">
        <f>IFERROR(('B2'!U99/(VLOOKUP(D5,Currency!$A$2:$D$33,3,FALSE))*100),0)</f>
        <v>0</v>
      </c>
      <c r="AI56" s="121">
        <f>IFERROR(('B2'!V99/(VLOOKUP(D5,Currency!$A$2:$D$33,3,FALSE))*100),0)</f>
        <v>0</v>
      </c>
      <c r="AJ56" s="122">
        <f>IFERROR(('B2'!W99/(VLOOKUP(D5,Currency!$A$2:$D$33,3,FALSE))*100),0)</f>
        <v>0</v>
      </c>
      <c r="AK56" s="121">
        <f>IFERROR(('B2'!X99/(VLOOKUP(D5,Currency!$A$2:$D$33,3,FALSE))*100),0)</f>
        <v>0</v>
      </c>
      <c r="AL56" s="122">
        <f>IFERROR(('B2'!Y99/(VLOOKUP(D5,Currency!$A$2:$D$33,3,FALSE))*100),0)</f>
        <v>0</v>
      </c>
      <c r="AM56" s="122">
        <f>IFERROR(('B2'!Z99/(VLOOKUP(D5,Currency!$A$2:$D$33,3,FALSE))*100),0)</f>
        <v>0</v>
      </c>
      <c r="AN56" s="121">
        <f>IFERROR(('B2'!AA99/(VLOOKUP(D5,Currency!$A$2:$D$33,3,FALSE))*100),0)</f>
        <v>0</v>
      </c>
      <c r="AO56" s="121">
        <f>IFERROR(('B2'!AB99/(VLOOKUP(D5,Currency!$A$2:$D$33,3,FALSE))*100),0)</f>
        <v>0</v>
      </c>
      <c r="AP56" s="180">
        <f t="shared" ref="AP56:AP64" si="115">SUM(AF56:AM56)</f>
        <v>0</v>
      </c>
      <c r="AR56" s="161" t="s">
        <v>75</v>
      </c>
      <c r="AS56" s="121"/>
      <c r="AT56" s="122">
        <f>IFERROR(('B3'!S99/(VLOOKUP(D5,Currency!$A$2:$D$33,3,FALSE))*100),0)</f>
        <v>0</v>
      </c>
      <c r="AU56" s="121">
        <f>IFERROR(('B3'!T99/(VLOOKUP(D5,Currency!$A$2:$D$33,3,FALSE))*100),0)</f>
        <v>0</v>
      </c>
      <c r="AV56" s="122">
        <f>IFERROR(('B3'!U99/(VLOOKUP(D5,Currency!$A$2:$D$33,3,FALSE))*100),0)</f>
        <v>0</v>
      </c>
      <c r="AW56" s="121">
        <f>IFERROR(('B3'!V99/(VLOOKUP(D5,Currency!$A$2:$D$33,3,FALSE))*100),0)</f>
        <v>0</v>
      </c>
      <c r="AX56" s="122">
        <f>IFERROR(('B3'!W99/(VLOOKUP(D5,Currency!$A$2:$D$33,3,FALSE))*100),0)</f>
        <v>0</v>
      </c>
      <c r="AY56" s="121">
        <f>IFERROR(('B3'!X99/(VLOOKUP(D5,Currency!$A$2:$D$33,3,FALSE))*100),0)</f>
        <v>0</v>
      </c>
      <c r="AZ56" s="122">
        <f>IFERROR(('B3'!Y99/(VLOOKUP(D5,Currency!$A$2:$D$33,3,FALSE))*100),0)</f>
        <v>0</v>
      </c>
      <c r="BA56" s="122">
        <f>IFERROR(('B3'!Z99/(VLOOKUP(D5,Currency!$A$2:$D$33,3,FALSE))*100),0)</f>
        <v>0</v>
      </c>
      <c r="BB56" s="121">
        <f>IFERROR(('B3'!AA99/(VLOOKUP(D5,Currency!$A$2:$D$33,3,FALSE))*100),0)</f>
        <v>0</v>
      </c>
      <c r="BC56" s="121">
        <f>IFERROR(('B3'!AB99/(VLOOKUP(D5,Currency!$A$2:$D$33,3,FALSE))*100),0)</f>
        <v>0</v>
      </c>
      <c r="BD56" s="180">
        <f t="shared" ref="BD56:BD64" si="116">SUM(AT56:BA56)</f>
        <v>0</v>
      </c>
      <c r="BF56" s="161" t="s">
        <v>75</v>
      </c>
      <c r="BG56" s="121"/>
      <c r="BH56" s="122">
        <f>IFERROR(('B4'!S99/(VLOOKUP(D5,Currency!$A$2:$D$33,3,FALSE))*100),0)</f>
        <v>0</v>
      </c>
      <c r="BI56" s="121">
        <f>IFERROR(('B4'!T99/(VLOOKUP(D5,Currency!$A$2:$D$33,3,FALSE))*100),0)</f>
        <v>0</v>
      </c>
      <c r="BJ56" s="122">
        <f>IFERROR(('B4'!U99/(VLOOKUP(D5,Currency!$A$2:$D$33,3,FALSE))*100),0)</f>
        <v>0</v>
      </c>
      <c r="BK56" s="121">
        <f>IFERROR(('B4'!V99/(VLOOKUP(D5,Currency!$A$2:$D$33,3,FALSE))*100),0)</f>
        <v>0</v>
      </c>
      <c r="BL56" s="122">
        <f>IFERROR(('B4'!W99/(VLOOKUP(D5,Currency!$A$2:$D$33,3,FALSE))*100),0)</f>
        <v>0</v>
      </c>
      <c r="BM56" s="121">
        <f>IFERROR(('B4'!X99/(VLOOKUP(D5,Currency!$A$2:$D$33,3,FALSE))*100),0)</f>
        <v>0</v>
      </c>
      <c r="BN56" s="122">
        <f>IFERROR(('B4'!Y99/(VLOOKUP(D5,Currency!$A$2:$D$33,3,FALSE))*100),0)</f>
        <v>0</v>
      </c>
      <c r="BO56" s="122">
        <f>IFERROR(('B4'!Z99/(VLOOKUP(D5,Currency!$A$2:$D$33,3,FALSE))*100),0)</f>
        <v>0</v>
      </c>
      <c r="BP56" s="121">
        <f>IFERROR(('B4'!AA99/(VLOOKUP(D5,Currency!$A$2:$D$33,3,FALSE))*100),0)</f>
        <v>0</v>
      </c>
      <c r="BQ56" s="121">
        <f>IFERROR(('B4'!AB99/(VLOOKUP(D5,Currency!$A$2:$D$33,3,FALSE))*100),0)</f>
        <v>0</v>
      </c>
      <c r="BR56" s="180">
        <f t="shared" ref="BR56:BR64" si="117">SUM(BH56:BO56)</f>
        <v>0</v>
      </c>
      <c r="BT56" s="161" t="s">
        <v>75</v>
      </c>
      <c r="BU56" s="121"/>
      <c r="BV56" s="122">
        <f>IFERROR(('B5'!S99/(VLOOKUP(D5,Currency!$A$2:$D$33,3,FALSE))*100),0)</f>
        <v>0</v>
      </c>
      <c r="BW56" s="121">
        <f>IFERROR(('B5'!T99/(VLOOKUP(D5,Currency!$A$2:$D$33,3,FALSE))*100),0)</f>
        <v>0</v>
      </c>
      <c r="BX56" s="122">
        <f>IFERROR(('B5'!U99/(VLOOKUP(D5,Currency!$A$2:$D$33,3,FALSE))*100),0)</f>
        <v>0</v>
      </c>
      <c r="BY56" s="121">
        <f>IFERROR(('B5'!V99/(VLOOKUP(D5,Currency!$A$2:$D$33,3,FALSE))*100),0)</f>
        <v>0</v>
      </c>
      <c r="BZ56" s="122">
        <f>IFERROR(('B5'!W99/(VLOOKUP(D5,Currency!$A$2:$D$33,3,FALSE))*100),0)</f>
        <v>0</v>
      </c>
      <c r="CA56" s="121">
        <f>IFERROR(('B5'!X99/(VLOOKUP(D5,Currency!$A$2:$D$33,3,FALSE))*100),0)</f>
        <v>0</v>
      </c>
      <c r="CB56" s="122">
        <f>IFERROR(('B5'!Y99/(VLOOKUP(D5,Currency!$A$2:$D$33,3,FALSE))*100),0)</f>
        <v>0</v>
      </c>
      <c r="CC56" s="122">
        <f>IFERROR(('B5'!Z99/(VLOOKUP(D5,Currency!$A$2:$D$33,3,FALSE))*100),0)</f>
        <v>0</v>
      </c>
      <c r="CD56" s="121">
        <f>IFERROR(('B5'!AA99/(VLOOKUP(D5,Currency!$A$2:$D$33,3,FALSE))*100),0)</f>
        <v>0</v>
      </c>
      <c r="CE56" s="121">
        <f>IFERROR(('B5'!AB99/(VLOOKUP(D5,Currency!$A$2:$D$33,3,FALSE))*100),0)</f>
        <v>0</v>
      </c>
      <c r="CF56" s="180">
        <f t="shared" ref="CF56:CF64" si="118">SUM(BV56:CC56)</f>
        <v>0</v>
      </c>
    </row>
    <row r="57" spans="2:84" x14ac:dyDescent="0.2">
      <c r="B57" s="190" t="s">
        <v>76</v>
      </c>
      <c r="C57" s="151"/>
      <c r="D57" s="146">
        <f>IFERROR((Total!D50/(VLOOKUP(D5,Currency!$A$2:$D$33,3,FALSE))*100),0)</f>
        <v>0</v>
      </c>
      <c r="E57" s="146">
        <f>IFERROR((Total!E50/(VLOOKUP(D5,Currency!$A$2:$D$33,3,FALSE))*100),0)</f>
        <v>51783.751909726881</v>
      </c>
      <c r="F57" s="146">
        <f>IFERROR((Total!F50/(VLOOKUP(D5,Currency!$A$2:$D$33,3,FALSE))*100),0)</f>
        <v>53351.738186496565</v>
      </c>
      <c r="G57" s="146">
        <f>IFERROR((Total!G50/(VLOOKUP(D5,Currency!$A$2:$D$33,3,FALSE))*100),0)</f>
        <v>55000.134015921096</v>
      </c>
      <c r="H57" s="146">
        <f>IFERROR((Total!H50/(VLOOKUP(D5,Currency!$A$2:$D$33,3,FALSE))*100),0)</f>
        <v>56688.734621673066</v>
      </c>
      <c r="I57" s="146">
        <f>IFERROR((Total!I50/(VLOOKUP(D5,Currency!$A$2:$D$33,3,FALSE))*100),0)</f>
        <v>0</v>
      </c>
      <c r="J57" s="151">
        <f>IFERROR((Total!J50/(VLOOKUP(D5,Currency!$A$2:$D$33,3,FALSE))*100),0)</f>
        <v>0</v>
      </c>
      <c r="K57" s="146">
        <f>IFERROR((Total!K50/(VLOOKUP(D5,Currency!$A$2:$D$33,3,FALSE))*100),0)</f>
        <v>0</v>
      </c>
      <c r="L57" s="151">
        <f>IFERROR((Total!L50/(VLOOKUP(D5,Currency!$A$2:$D$33,3,FALSE))*100),0)</f>
        <v>0</v>
      </c>
      <c r="M57" s="151">
        <f>IFERROR((Total!M50/(VLOOKUP(D5,Currency!$A$2:$D$33,3,FALSE))*100),0)</f>
        <v>0</v>
      </c>
      <c r="N57" s="181">
        <f t="shared" si="113"/>
        <v>216824.35873381761</v>
      </c>
      <c r="P57" s="190" t="s">
        <v>76</v>
      </c>
      <c r="Q57" s="151"/>
      <c r="R57" s="146">
        <f>IFERROR(('B1'!S100/(VLOOKUP(D5,Currency!$A$2:$D$33,3,FALSE))*100),0)</f>
        <v>0</v>
      </c>
      <c r="S57" s="146">
        <f>IFERROR(('B1'!T100/(VLOOKUP(D5,Currency!$A$2:$D$33,3,FALSE))*100),0)</f>
        <v>51783.751909726881</v>
      </c>
      <c r="T57" s="146">
        <f>IFERROR(('B1'!U100/(VLOOKUP(D5,Currency!$A$2:$D$33,3,FALSE))*100),0)</f>
        <v>53351.738186496565</v>
      </c>
      <c r="U57" s="146">
        <f>IFERROR(('B1'!V100/(VLOOKUP(D5,Currency!$A$2:$D$33,3,FALSE))*100),0)</f>
        <v>55000.134015921096</v>
      </c>
      <c r="V57" s="146">
        <f>IFERROR(('B1'!W100/(VLOOKUP(D5,Currency!$A$2:$D$33,3,FALSE))*100),0)</f>
        <v>56688.734621673066</v>
      </c>
      <c r="W57" s="146">
        <f>IFERROR(('B1'!X100/(VLOOKUP(D5,Currency!$A$2:$D$33,3,FALSE))*100),0)</f>
        <v>0</v>
      </c>
      <c r="X57" s="151">
        <f>IFERROR(('B1'!Y100/(VLOOKUP(D5,Currency!$A$2:$D$33,3,FALSE))*100),0)</f>
        <v>0</v>
      </c>
      <c r="Y57" s="146">
        <f>IFERROR(('B1'!Z100/(VLOOKUP(D5,Currency!$A$2:$D$33,3,FALSE))*100),0)</f>
        <v>0</v>
      </c>
      <c r="Z57" s="151">
        <f>IFERROR(('B1'!AA100/(VLOOKUP(D5,Currency!$A$2:$D$33,3,FALSE))*100),0)</f>
        <v>0</v>
      </c>
      <c r="AA57" s="151">
        <f>IFERROR(('B1'!AB100/(VLOOKUP(D5,Currency!$A$2:$D$33,3,FALSE))*100),0)</f>
        <v>0</v>
      </c>
      <c r="AB57" s="181">
        <f t="shared" si="114"/>
        <v>216824.35873381761</v>
      </c>
      <c r="AD57" s="190" t="s">
        <v>76</v>
      </c>
      <c r="AE57" s="151"/>
      <c r="AF57" s="146">
        <f>IFERROR(('B2'!S100/(VLOOKUP(D5,Currency!$A$2:$D$33,3,FALSE))*100),0)</f>
        <v>0</v>
      </c>
      <c r="AG57" s="146">
        <f>IFERROR(('B2'!T100/(VLOOKUP(D5,Currency!$A$2:$D$33,3,FALSE))*100),0)</f>
        <v>0</v>
      </c>
      <c r="AH57" s="146">
        <f>IFERROR(('B2'!U100/(VLOOKUP(D5,Currency!$A$2:$D$33,3,FALSE))*100),0)</f>
        <v>0</v>
      </c>
      <c r="AI57" s="146">
        <f>IFERROR(('B2'!V100/(VLOOKUP(D5,Currency!$A$2:$D$33,3,FALSE))*100),0)</f>
        <v>0</v>
      </c>
      <c r="AJ57" s="146">
        <f>IFERROR(('B2'!W100/(VLOOKUP(D5,Currency!$A$2:$D$33,3,FALSE))*100),0)</f>
        <v>0</v>
      </c>
      <c r="AK57" s="146">
        <f>IFERROR(('B2'!X100/(VLOOKUP(D5,Currency!$A$2:$D$33,3,FALSE))*100),0)</f>
        <v>0</v>
      </c>
      <c r="AL57" s="151">
        <f>IFERROR(('B2'!Y100/(VLOOKUP(D5,Currency!$A$2:$D$33,3,FALSE))*100),0)</f>
        <v>0</v>
      </c>
      <c r="AM57" s="146">
        <f>IFERROR(('B2'!Z100/(VLOOKUP(D5,Currency!$A$2:$D$33,3,FALSE))*100),0)</f>
        <v>0</v>
      </c>
      <c r="AN57" s="151">
        <f>IFERROR(('B2'!AA100/(VLOOKUP(D5,Currency!$A$2:$D$33,3,FALSE))*100),0)</f>
        <v>0</v>
      </c>
      <c r="AO57" s="151">
        <f>IFERROR(('B2'!AB100/(VLOOKUP(D5,Currency!$A$2:$D$33,3,FALSE))*100),0)</f>
        <v>0</v>
      </c>
      <c r="AP57" s="181">
        <f t="shared" si="115"/>
        <v>0</v>
      </c>
      <c r="AR57" s="190" t="s">
        <v>76</v>
      </c>
      <c r="AS57" s="151"/>
      <c r="AT57" s="146">
        <f>IFERROR(('B3'!S100/(VLOOKUP(D5,Currency!$A$2:$D$33,3,FALSE))*100),0)</f>
        <v>0</v>
      </c>
      <c r="AU57" s="146">
        <f>IFERROR(('B3'!T100/(VLOOKUP(D5,Currency!$A$2:$D$33,3,FALSE))*100),0)</f>
        <v>0</v>
      </c>
      <c r="AV57" s="146">
        <f>IFERROR(('B3'!U100/(VLOOKUP(D5,Currency!$A$2:$D$33,3,FALSE))*100),0)</f>
        <v>0</v>
      </c>
      <c r="AW57" s="146">
        <f>IFERROR(('B3'!V100/(VLOOKUP(D5,Currency!$A$2:$D$33,3,FALSE))*100),0)</f>
        <v>0</v>
      </c>
      <c r="AX57" s="146">
        <f>IFERROR(('B3'!W100/(VLOOKUP(D5,Currency!$A$2:$D$33,3,FALSE))*100),0)</f>
        <v>0</v>
      </c>
      <c r="AY57" s="146">
        <f>IFERROR(('B3'!X100/(VLOOKUP(D5,Currency!$A$2:$D$33,3,FALSE))*100),0)</f>
        <v>0</v>
      </c>
      <c r="AZ57" s="151">
        <f>IFERROR(('B3'!Y100/(VLOOKUP(D5,Currency!$A$2:$D$33,3,FALSE))*100),0)</f>
        <v>0</v>
      </c>
      <c r="BA57" s="146">
        <f>IFERROR(('B3'!Z100/(VLOOKUP(D5,Currency!$A$2:$D$33,3,FALSE))*100),0)</f>
        <v>0</v>
      </c>
      <c r="BB57" s="151">
        <f>IFERROR(('B3'!AA100/(VLOOKUP(D5,Currency!$A$2:$D$33,3,FALSE))*100),0)</f>
        <v>0</v>
      </c>
      <c r="BC57" s="151">
        <f>IFERROR(('B3'!AB100/(VLOOKUP(D5,Currency!$A$2:$D$33,3,FALSE))*100),0)</f>
        <v>0</v>
      </c>
      <c r="BD57" s="181">
        <f t="shared" si="116"/>
        <v>0</v>
      </c>
      <c r="BF57" s="190" t="s">
        <v>76</v>
      </c>
      <c r="BG57" s="151"/>
      <c r="BH57" s="146">
        <f>IFERROR(('B4'!S100/(VLOOKUP(D5,Currency!$A$2:$D$33,3,FALSE))*100),0)</f>
        <v>0</v>
      </c>
      <c r="BI57" s="146">
        <f>IFERROR(('B4'!T100/(VLOOKUP(D5,Currency!$A$2:$D$33,3,FALSE))*100),0)</f>
        <v>0</v>
      </c>
      <c r="BJ57" s="146">
        <f>IFERROR(('B4'!U100/(VLOOKUP(D5,Currency!$A$2:$D$33,3,FALSE))*100),0)</f>
        <v>0</v>
      </c>
      <c r="BK57" s="146">
        <f>IFERROR(('B4'!V100/(VLOOKUP(D5,Currency!$A$2:$D$33,3,FALSE))*100),0)</f>
        <v>0</v>
      </c>
      <c r="BL57" s="146">
        <f>IFERROR(('B4'!W100/(VLOOKUP(D5,Currency!$A$2:$D$33,3,FALSE))*100),0)</f>
        <v>0</v>
      </c>
      <c r="BM57" s="146">
        <f>IFERROR(('B4'!X100/(VLOOKUP(D5,Currency!$A$2:$D$33,3,FALSE))*100),0)</f>
        <v>0</v>
      </c>
      <c r="BN57" s="151">
        <f>IFERROR(('B4'!Y100/(VLOOKUP(D5,Currency!$A$2:$D$33,3,FALSE))*100),0)</f>
        <v>0</v>
      </c>
      <c r="BO57" s="146">
        <f>IFERROR(('B4'!Z100/(VLOOKUP(D5,Currency!$A$2:$D$33,3,FALSE))*100),0)</f>
        <v>0</v>
      </c>
      <c r="BP57" s="151">
        <f>IFERROR(('B4'!AA100/(VLOOKUP(D5,Currency!$A$2:$D$33,3,FALSE))*100),0)</f>
        <v>0</v>
      </c>
      <c r="BQ57" s="151">
        <f>IFERROR(('B4'!AB100/(VLOOKUP(D5,Currency!$A$2:$D$33,3,FALSE))*100),0)</f>
        <v>0</v>
      </c>
      <c r="BR57" s="181">
        <f t="shared" si="117"/>
        <v>0</v>
      </c>
      <c r="BT57" s="190" t="s">
        <v>76</v>
      </c>
      <c r="BU57" s="151"/>
      <c r="BV57" s="146">
        <f>IFERROR(('B5'!S100/(VLOOKUP(D5,Currency!$A$2:$D$33,3,FALSE))*100),0)</f>
        <v>0</v>
      </c>
      <c r="BW57" s="146">
        <f>IFERROR(('B5'!T100/(VLOOKUP(D5,Currency!$A$2:$D$33,3,FALSE))*100),0)</f>
        <v>0</v>
      </c>
      <c r="BX57" s="146">
        <f>IFERROR(('B5'!U100/(VLOOKUP(D5,Currency!$A$2:$D$33,3,FALSE))*100),0)</f>
        <v>0</v>
      </c>
      <c r="BY57" s="146">
        <f>IFERROR(('B5'!V100/(VLOOKUP(D5,Currency!$A$2:$D$33,3,FALSE))*100),0)</f>
        <v>0</v>
      </c>
      <c r="BZ57" s="146">
        <f>IFERROR(('B5'!W100/(VLOOKUP(D5,Currency!$A$2:$D$33,3,FALSE))*100),0)</f>
        <v>0</v>
      </c>
      <c r="CA57" s="146">
        <f>IFERROR(('B5'!X100/(VLOOKUP(D5,Currency!$A$2:$D$33,3,FALSE))*100),0)</f>
        <v>0</v>
      </c>
      <c r="CB57" s="151">
        <f>IFERROR(('B5'!Y100/(VLOOKUP(D5,Currency!$A$2:$D$33,3,FALSE))*100),0)</f>
        <v>0</v>
      </c>
      <c r="CC57" s="146">
        <f>IFERROR(('B5'!Z100/(VLOOKUP(D5,Currency!$A$2:$D$33,3,FALSE))*100),0)</f>
        <v>0</v>
      </c>
      <c r="CD57" s="151">
        <f>IFERROR(('B5'!AA100/(VLOOKUP(D5,Currency!$A$2:$D$33,3,FALSE))*100),0)</f>
        <v>0</v>
      </c>
      <c r="CE57" s="151">
        <f>IFERROR(('B5'!AB100/(VLOOKUP(D5,Currency!$A$2:$D$33,3,FALSE))*100),0)</f>
        <v>0</v>
      </c>
      <c r="CF57" s="181">
        <f t="shared" si="118"/>
        <v>0</v>
      </c>
    </row>
    <row r="58" spans="2:84" x14ac:dyDescent="0.2">
      <c r="B58" s="190" t="s">
        <v>77</v>
      </c>
      <c r="C58" s="151"/>
      <c r="D58" s="146">
        <f>IFERROR((Total!D51/(VLOOKUP(D5,Currency!$A$2:$D$33,3,FALSE))*100),0)</f>
        <v>0</v>
      </c>
      <c r="E58" s="196">
        <f>IFERROR((Total!E51/(VLOOKUP(D5,Currency!$A$2:$D$33,3,FALSE))*100),0)</f>
        <v>0</v>
      </c>
      <c r="F58" s="196">
        <f>IFERROR((Total!F51/(VLOOKUP(D5,Currency!$A$2:$D$33,3,FALSE))*100),0)</f>
        <v>0</v>
      </c>
      <c r="G58" s="196">
        <f>IFERROR((Total!G51/(VLOOKUP(D5,Currency!$A$2:$D$33,3,FALSE))*100),0)</f>
        <v>0</v>
      </c>
      <c r="H58" s="196">
        <f>IFERROR((Total!H51/(VLOOKUP(D5,Currency!$A$2:$D$33,3,FALSE))*100),0)</f>
        <v>0</v>
      </c>
      <c r="I58" s="196">
        <f>IFERROR((Total!I51/(VLOOKUP(D5,Currency!$A$2:$D$33,3,FALSE))*100),0)</f>
        <v>0</v>
      </c>
      <c r="J58" s="197">
        <f>IFERROR((Total!J51/(VLOOKUP(D5,Currency!$A$2:$D$33,3,FALSE))*100),0)</f>
        <v>0</v>
      </c>
      <c r="K58" s="196">
        <f>IFERROR((Total!K51/(VLOOKUP(D5,Currency!$A$2:$D$33,3,FALSE))*100),0)</f>
        <v>0</v>
      </c>
      <c r="L58" s="197">
        <f>IFERROR((Total!L51/(VLOOKUP(D5,Currency!$A$2:$D$33,3,FALSE))*100),0)</f>
        <v>0</v>
      </c>
      <c r="M58" s="197">
        <f>IFERROR((Total!M51/(VLOOKUP(D5,Currency!$A$2:$D$33,3,FALSE))*100),0)</f>
        <v>0</v>
      </c>
      <c r="N58" s="181">
        <f t="shared" si="113"/>
        <v>0</v>
      </c>
      <c r="P58" s="190" t="s">
        <v>77</v>
      </c>
      <c r="Q58" s="151"/>
      <c r="R58" s="146">
        <f>IFERROR(('B1'!S101/(VLOOKUP(D5,Currency!$A$2:$D$33,3,FALSE))*100),0)</f>
        <v>0</v>
      </c>
      <c r="S58" s="196">
        <f>IFERROR(('B1'!T101/(VLOOKUP(D5,Currency!$A$2:$D$33,3,FALSE))*100),0)</f>
        <v>0</v>
      </c>
      <c r="T58" s="196">
        <f>IFERROR(('B1'!U101/(VLOOKUP(D5,Currency!$A$2:$D$33,3,FALSE))*100),0)</f>
        <v>0</v>
      </c>
      <c r="U58" s="196">
        <f>IFERROR(('B1'!V101/(VLOOKUP(D5,Currency!$A$2:$D$33,3,FALSE))*100),0)</f>
        <v>0</v>
      </c>
      <c r="V58" s="196">
        <f>IFERROR(('B1'!W101/(VLOOKUP(D5,Currency!$A$2:$D$33,3,FALSE))*100),0)</f>
        <v>0</v>
      </c>
      <c r="W58" s="196">
        <f>IFERROR(('B1'!X101/(VLOOKUP(D5,Currency!$A$2:$D$33,3,FALSE))*100),0)</f>
        <v>0</v>
      </c>
      <c r="X58" s="197">
        <f>IFERROR(('B1'!Y101/(VLOOKUP(D5,Currency!$A$2:$D$33,3,FALSE))*100),0)</f>
        <v>0</v>
      </c>
      <c r="Y58" s="196">
        <f>IFERROR(('B1'!Z101/(VLOOKUP(D5,Currency!$A$2:$D$33,3,FALSE))*100),0)</f>
        <v>0</v>
      </c>
      <c r="Z58" s="197">
        <f>IFERROR(('B1'!AA101/(VLOOKUP(D5,Currency!$A$2:$D$33,3,FALSE))*100),0)</f>
        <v>0</v>
      </c>
      <c r="AA58" s="197">
        <f>IFERROR(('B1'!AB101/(VLOOKUP(D5,Currency!$A$2:$D$33,3,FALSE))*100),0)</f>
        <v>0</v>
      </c>
      <c r="AB58" s="181">
        <f t="shared" si="114"/>
        <v>0</v>
      </c>
      <c r="AD58" s="190" t="s">
        <v>77</v>
      </c>
      <c r="AE58" s="151"/>
      <c r="AF58" s="146">
        <f>IFERROR(('B2'!S101/(VLOOKUP(D5,Currency!$A$2:$D$33,3,FALSE))*100),0)</f>
        <v>0</v>
      </c>
      <c r="AG58" s="196">
        <f>IFERROR(('B2'!T101/(VLOOKUP(D5,Currency!$A$2:$D$33,3,FALSE))*100),0)</f>
        <v>0</v>
      </c>
      <c r="AH58" s="196">
        <f>IFERROR(('B2'!U101/(VLOOKUP(D5,Currency!$A$2:$D$33,3,FALSE))*100),0)</f>
        <v>0</v>
      </c>
      <c r="AI58" s="196">
        <f>IFERROR(('B2'!V101/(VLOOKUP(D5,Currency!$A$2:$D$33,3,FALSE))*100),0)</f>
        <v>0</v>
      </c>
      <c r="AJ58" s="196">
        <f>IFERROR(('B2'!W101/(VLOOKUP(D5,Currency!$A$2:$D$33,3,FALSE))*100),0)</f>
        <v>0</v>
      </c>
      <c r="AK58" s="196">
        <f>IFERROR(('B2'!X101/(VLOOKUP(D5,Currency!$A$2:$D$33,3,FALSE))*100),0)</f>
        <v>0</v>
      </c>
      <c r="AL58" s="197">
        <f>IFERROR(('B2'!Y101/(VLOOKUP(D5,Currency!$A$2:$D$33,3,FALSE))*100),0)</f>
        <v>0</v>
      </c>
      <c r="AM58" s="196">
        <f>IFERROR(('B2'!Z101/(VLOOKUP(D5,Currency!$A$2:$D$33,3,FALSE))*100),0)</f>
        <v>0</v>
      </c>
      <c r="AN58" s="197">
        <f>IFERROR(('B2'!AA101/(VLOOKUP(D5,Currency!$A$2:$D$33,3,FALSE))*100),0)</f>
        <v>0</v>
      </c>
      <c r="AO58" s="197">
        <f>IFERROR(('B2'!AB101/(VLOOKUP(D5,Currency!$A$2:$D$33,3,FALSE))*100),0)</f>
        <v>0</v>
      </c>
      <c r="AP58" s="181">
        <f t="shared" si="115"/>
        <v>0</v>
      </c>
      <c r="AR58" s="190" t="s">
        <v>77</v>
      </c>
      <c r="AS58" s="151"/>
      <c r="AT58" s="146">
        <f>IFERROR(('B3'!S101/(VLOOKUP(D5,Currency!$A$2:$D$33,3,FALSE))*100),0)</f>
        <v>0</v>
      </c>
      <c r="AU58" s="196">
        <f>IFERROR(('B3'!T101/(VLOOKUP(D5,Currency!$A$2:$D$33,3,FALSE))*100),0)</f>
        <v>0</v>
      </c>
      <c r="AV58" s="196">
        <f>IFERROR(('B3'!U101/(VLOOKUP(D5,Currency!$A$2:$D$33,3,FALSE))*100),0)</f>
        <v>0</v>
      </c>
      <c r="AW58" s="196">
        <f>IFERROR(('B3'!V101/(VLOOKUP(D5,Currency!$A$2:$D$33,3,FALSE))*100),0)</f>
        <v>0</v>
      </c>
      <c r="AX58" s="196">
        <f>IFERROR(('B3'!W101/(VLOOKUP(D5,Currency!$A$2:$D$33,3,FALSE))*100),0)</f>
        <v>0</v>
      </c>
      <c r="AY58" s="196">
        <f>IFERROR(('B3'!X101/(VLOOKUP(D5,Currency!$A$2:$D$33,3,FALSE))*100),0)</f>
        <v>0</v>
      </c>
      <c r="AZ58" s="197">
        <f>IFERROR(('B3'!Y101/(VLOOKUP(D5,Currency!$A$2:$D$33,3,FALSE))*100),0)</f>
        <v>0</v>
      </c>
      <c r="BA58" s="196">
        <f>IFERROR(('B3'!Z101/(VLOOKUP(D5,Currency!$A$2:$D$33,3,FALSE))*100),0)</f>
        <v>0</v>
      </c>
      <c r="BB58" s="197">
        <f>IFERROR(('B3'!AA101/(VLOOKUP(D5,Currency!$A$2:$D$33,3,FALSE))*100),0)</f>
        <v>0</v>
      </c>
      <c r="BC58" s="197">
        <f>IFERROR(('B3'!AB101/(VLOOKUP(D5,Currency!$A$2:$D$33,3,FALSE))*100),0)</f>
        <v>0</v>
      </c>
      <c r="BD58" s="181">
        <f t="shared" si="116"/>
        <v>0</v>
      </c>
      <c r="BF58" s="190" t="s">
        <v>77</v>
      </c>
      <c r="BG58" s="151"/>
      <c r="BH58" s="146">
        <f>IFERROR(('B4'!S101/(VLOOKUP(D5,Currency!$A$2:$D$33,3,FALSE))*100),0)</f>
        <v>0</v>
      </c>
      <c r="BI58" s="196">
        <f>IFERROR(('B4'!T101/(VLOOKUP(D5,Currency!$A$2:$D$33,3,FALSE))*100),0)</f>
        <v>0</v>
      </c>
      <c r="BJ58" s="196">
        <f>IFERROR(('B4'!U101/(VLOOKUP(D5,Currency!$A$2:$D$33,3,FALSE))*100),0)</f>
        <v>0</v>
      </c>
      <c r="BK58" s="196">
        <f>IFERROR(('B4'!V101/(VLOOKUP(D5,Currency!$A$2:$D$33,3,FALSE))*100),0)</f>
        <v>0</v>
      </c>
      <c r="BL58" s="196">
        <f>IFERROR(('B4'!W101/(VLOOKUP(D5,Currency!$A$2:$D$33,3,FALSE))*100),0)</f>
        <v>0</v>
      </c>
      <c r="BM58" s="196">
        <f>IFERROR(('B4'!X101/(VLOOKUP(D5,Currency!$A$2:$D$33,3,FALSE))*100),0)</f>
        <v>0</v>
      </c>
      <c r="BN58" s="197">
        <f>IFERROR(('B4'!Y101/(VLOOKUP(D5,Currency!$A$2:$D$33,3,FALSE))*100),0)</f>
        <v>0</v>
      </c>
      <c r="BO58" s="196">
        <f>IFERROR(('B4'!Z101/(VLOOKUP(D5,Currency!$A$2:$D$33,3,FALSE))*100),0)</f>
        <v>0</v>
      </c>
      <c r="BP58" s="197">
        <f>IFERROR(('B4'!AA101/(VLOOKUP(D5,Currency!$A$2:$D$33,3,FALSE))*100),0)</f>
        <v>0</v>
      </c>
      <c r="BQ58" s="197">
        <f>IFERROR(('B4'!AB101/(VLOOKUP(D5,Currency!$A$2:$D$33,3,FALSE))*100),0)</f>
        <v>0</v>
      </c>
      <c r="BR58" s="181">
        <f t="shared" si="117"/>
        <v>0</v>
      </c>
      <c r="BT58" s="190" t="s">
        <v>77</v>
      </c>
      <c r="BU58" s="151"/>
      <c r="BV58" s="146">
        <f>IFERROR(('B5'!S101/(VLOOKUP(D5,Currency!$A$2:$D$33,3,FALSE))*100),0)</f>
        <v>0</v>
      </c>
      <c r="BW58" s="196">
        <f>IFERROR(('B5'!T101/(VLOOKUP(D5,Currency!$A$2:$D$33,3,FALSE))*100),0)</f>
        <v>0</v>
      </c>
      <c r="BX58" s="196">
        <f>IFERROR(('B5'!U101/(VLOOKUP(D5,Currency!$A$2:$D$33,3,FALSE))*100),0)</f>
        <v>0</v>
      </c>
      <c r="BY58" s="196">
        <f>IFERROR(('B5'!V101/(VLOOKUP(D5,Currency!$A$2:$D$33,3,FALSE))*100),0)</f>
        <v>0</v>
      </c>
      <c r="BZ58" s="196">
        <f>IFERROR(('B5'!W101/(VLOOKUP(D5,Currency!$A$2:$D$33,3,FALSE))*100),0)</f>
        <v>0</v>
      </c>
      <c r="CA58" s="196">
        <f>IFERROR(('B5'!X101/(VLOOKUP(D5,Currency!$A$2:$D$33,3,FALSE))*100),0)</f>
        <v>0</v>
      </c>
      <c r="CB58" s="197">
        <f>IFERROR(('B5'!Y101/(VLOOKUP(D5,Currency!$A$2:$D$33,3,FALSE))*100),0)</f>
        <v>0</v>
      </c>
      <c r="CC58" s="196">
        <f>IFERROR(('B5'!Z101/(VLOOKUP(D5,Currency!$A$2:$D$33,3,FALSE))*100),0)</f>
        <v>0</v>
      </c>
      <c r="CD58" s="197">
        <f>IFERROR(('B5'!AA101/(VLOOKUP(D5,Currency!$A$2:$D$33,3,FALSE))*100),0)</f>
        <v>0</v>
      </c>
      <c r="CE58" s="197">
        <f>IFERROR(('B5'!AB101/(VLOOKUP(D5,Currency!$A$2:$D$33,3,FALSE))*100),0)</f>
        <v>0</v>
      </c>
      <c r="CF58" s="181">
        <f t="shared" si="118"/>
        <v>0</v>
      </c>
    </row>
    <row r="59" spans="2:84" x14ac:dyDescent="0.2">
      <c r="B59" s="190" t="s">
        <v>78</v>
      </c>
      <c r="C59" s="151"/>
      <c r="D59" s="146">
        <f>IFERROR((Total!D52/(VLOOKUP(D5,Currency!$A$2:$D$33,3,FALSE))*100),0)</f>
        <v>0</v>
      </c>
      <c r="E59" s="203">
        <f>IFERROR((Total!E52/(VLOOKUP(D5,Currency!$A$2:$D$33,3,FALSE))*100),0)</f>
        <v>51783.751909726881</v>
      </c>
      <c r="F59" s="203">
        <f>IFERROR((Total!F52/(VLOOKUP(D5,Currency!$A$2:$D$33,3,FALSE))*100),0)</f>
        <v>53351.738186496565</v>
      </c>
      <c r="G59" s="203">
        <f>IFERROR((Total!G52/(VLOOKUP(D5,Currency!$A$2:$D$33,3,FALSE))*100),0)</f>
        <v>55000.134015921096</v>
      </c>
      <c r="H59" s="203">
        <f>IFERROR((Total!H52/(VLOOKUP(D5,Currency!$A$2:$D$33,3,FALSE))*100),0)</f>
        <v>56688.734621673066</v>
      </c>
      <c r="I59" s="203">
        <f>IFERROR((Total!I52/(VLOOKUP(D5,Currency!$A$2:$D$33,3,FALSE))*100),0)</f>
        <v>0</v>
      </c>
      <c r="J59" s="204">
        <f>IFERROR((Total!J52/(VLOOKUP(D5,Currency!$A$2:$D$33,3,FALSE))*100),0)</f>
        <v>0</v>
      </c>
      <c r="K59" s="203">
        <f>IFERROR((Total!K52/(VLOOKUP(D5,Currency!$A$2:$D$33,3,FALSE))*100),0)</f>
        <v>0</v>
      </c>
      <c r="L59" s="204">
        <f>IFERROR((Total!L52/(VLOOKUP(D5,Currency!$A$2:$D$33,3,FALSE))*100),0)</f>
        <v>0</v>
      </c>
      <c r="M59" s="204">
        <f>IFERROR((Total!M52/(VLOOKUP(D5,Currency!$A$2:$D$33,3,FALSE))*100),0)</f>
        <v>0</v>
      </c>
      <c r="N59" s="181">
        <f t="shared" si="113"/>
        <v>216824.35873381761</v>
      </c>
      <c r="P59" s="190" t="s">
        <v>78</v>
      </c>
      <c r="Q59" s="151"/>
      <c r="R59" s="146">
        <f>IFERROR(('B1'!S102/(VLOOKUP(D5,Currency!$A$2:$D$33,3,FALSE))*100),0)</f>
        <v>0</v>
      </c>
      <c r="S59" s="203">
        <f>IFERROR(('B1'!T102/(VLOOKUP(D5,Currency!$A$2:$D$33,3,FALSE))*100),0)</f>
        <v>51783.751909726881</v>
      </c>
      <c r="T59" s="203">
        <f>IFERROR(('B1'!U102/(VLOOKUP(D5,Currency!$A$2:$D$33,3,FALSE))*100),0)</f>
        <v>53351.738186496565</v>
      </c>
      <c r="U59" s="203">
        <f>IFERROR(('B1'!V102/(VLOOKUP(D5,Currency!$A$2:$D$33,3,FALSE))*100),0)</f>
        <v>55000.134015921096</v>
      </c>
      <c r="V59" s="203">
        <f>IFERROR(('B1'!W102/(VLOOKUP(D5,Currency!$A$2:$D$33,3,FALSE))*100),0)</f>
        <v>56688.734621673066</v>
      </c>
      <c r="W59" s="203">
        <f>IFERROR(('B1'!X102/(VLOOKUP(D5,Currency!$A$2:$D$33,3,FALSE))*100),0)</f>
        <v>0</v>
      </c>
      <c r="X59" s="204">
        <f>IFERROR(('B1'!Y102/(VLOOKUP(D5,Currency!$A$2:$D$33,3,FALSE))*100),0)</f>
        <v>0</v>
      </c>
      <c r="Y59" s="203">
        <f>IFERROR(('B1'!Z102/(VLOOKUP(D5,Currency!$A$2:$D$33,3,FALSE))*100),0)</f>
        <v>0</v>
      </c>
      <c r="Z59" s="204">
        <f>IFERROR(('B1'!AA102/(VLOOKUP(D5,Currency!$A$2:$D$33,3,FALSE))*100),0)</f>
        <v>0</v>
      </c>
      <c r="AA59" s="204">
        <f>IFERROR(('B1'!AB102/(VLOOKUP(D5,Currency!$A$2:$D$33,3,FALSE))*100),0)</f>
        <v>0</v>
      </c>
      <c r="AB59" s="181">
        <f t="shared" si="114"/>
        <v>216824.35873381761</v>
      </c>
      <c r="AD59" s="190" t="s">
        <v>78</v>
      </c>
      <c r="AE59" s="151"/>
      <c r="AF59" s="146">
        <f>IFERROR(('B2'!S102/(VLOOKUP(D5,Currency!$A$2:$D$33,3,FALSE))*100),0)</f>
        <v>0</v>
      </c>
      <c r="AG59" s="203">
        <f>IFERROR(('B2'!T102/(VLOOKUP(D5,Currency!$A$2:$D$33,3,FALSE))*100),0)</f>
        <v>0</v>
      </c>
      <c r="AH59" s="203">
        <f>IFERROR(('B2'!U102/(VLOOKUP(D5,Currency!$A$2:$D$33,3,FALSE))*100),0)</f>
        <v>0</v>
      </c>
      <c r="AI59" s="203">
        <f>IFERROR(('B2'!V102/(VLOOKUP(D5,Currency!$A$2:$D$33,3,FALSE))*100),0)</f>
        <v>0</v>
      </c>
      <c r="AJ59" s="203">
        <f>IFERROR(('B2'!W102/(VLOOKUP(D5,Currency!$A$2:$D$33,3,FALSE))*100),0)</f>
        <v>0</v>
      </c>
      <c r="AK59" s="203">
        <f>IFERROR(('B2'!X102/(VLOOKUP(D5,Currency!$A$2:$D$33,3,FALSE))*100),0)</f>
        <v>0</v>
      </c>
      <c r="AL59" s="204">
        <f>IFERROR(('B2'!Y102/(VLOOKUP(D5,Currency!$A$2:$D$33,3,FALSE))*100),0)</f>
        <v>0</v>
      </c>
      <c r="AM59" s="203">
        <f>IFERROR(('B2'!Z102/(VLOOKUP(D5,Currency!$A$2:$D$33,3,FALSE))*100),0)</f>
        <v>0</v>
      </c>
      <c r="AN59" s="204">
        <f>IFERROR(('B2'!AA102/(VLOOKUP(D5,Currency!$A$2:$D$33,3,FALSE))*100),0)</f>
        <v>0</v>
      </c>
      <c r="AO59" s="204">
        <f>IFERROR(('B2'!AB102/(VLOOKUP(D5,Currency!$A$2:$D$33,3,FALSE))*100),0)</f>
        <v>0</v>
      </c>
      <c r="AP59" s="181">
        <f t="shared" si="115"/>
        <v>0</v>
      </c>
      <c r="AR59" s="190" t="s">
        <v>78</v>
      </c>
      <c r="AS59" s="151"/>
      <c r="AT59" s="146">
        <f>IFERROR(('B3'!S102/(VLOOKUP(D5,Currency!$A$2:$D$33,3,FALSE))*100),0)</f>
        <v>0</v>
      </c>
      <c r="AU59" s="203">
        <f>IFERROR(('B3'!T102/(VLOOKUP(D5,Currency!$A$2:$D$33,3,FALSE))*100),0)</f>
        <v>0</v>
      </c>
      <c r="AV59" s="203">
        <f>IFERROR(('B3'!U102/(VLOOKUP(D5,Currency!$A$2:$D$33,3,FALSE))*100),0)</f>
        <v>0</v>
      </c>
      <c r="AW59" s="203">
        <f>IFERROR(('B3'!V102/(VLOOKUP(D5,Currency!$A$2:$D$33,3,FALSE))*100),0)</f>
        <v>0</v>
      </c>
      <c r="AX59" s="203">
        <f>IFERROR(('B3'!W102/(VLOOKUP(D5,Currency!$A$2:$D$33,3,FALSE))*100),0)</f>
        <v>0</v>
      </c>
      <c r="AY59" s="203">
        <f>IFERROR(('B3'!X102/(VLOOKUP(D5,Currency!$A$2:$D$33,3,FALSE))*100),0)</f>
        <v>0</v>
      </c>
      <c r="AZ59" s="204">
        <f>IFERROR(('B3'!Y102/(VLOOKUP(D5,Currency!$A$2:$D$33,3,FALSE))*100),0)</f>
        <v>0</v>
      </c>
      <c r="BA59" s="203">
        <f>IFERROR(('B3'!Z102/(VLOOKUP(D5,Currency!$A$2:$D$33,3,FALSE))*100),0)</f>
        <v>0</v>
      </c>
      <c r="BB59" s="204">
        <f>IFERROR(('B3'!AA102/(VLOOKUP(D5,Currency!$A$2:$D$33,3,FALSE))*100),0)</f>
        <v>0</v>
      </c>
      <c r="BC59" s="204">
        <f>IFERROR(('B3'!AB102/(VLOOKUP(D5,Currency!$A$2:$D$33,3,FALSE))*100),0)</f>
        <v>0</v>
      </c>
      <c r="BD59" s="181">
        <f t="shared" si="116"/>
        <v>0</v>
      </c>
      <c r="BF59" s="190" t="s">
        <v>78</v>
      </c>
      <c r="BG59" s="151"/>
      <c r="BH59" s="146">
        <f>IFERROR(('B4'!S102/(VLOOKUP(D5,Currency!$A$2:$D$33,3,FALSE))*100),0)</f>
        <v>0</v>
      </c>
      <c r="BI59" s="203">
        <f>IFERROR(('B4'!T102/(VLOOKUP(D5,Currency!$A$2:$D$33,3,FALSE))*100),0)</f>
        <v>0</v>
      </c>
      <c r="BJ59" s="203">
        <f>IFERROR(('B4'!U102/(VLOOKUP(D5,Currency!$A$2:$D$33,3,FALSE))*100),0)</f>
        <v>0</v>
      </c>
      <c r="BK59" s="203">
        <f>IFERROR(('B4'!V102/(VLOOKUP(D5,Currency!$A$2:$D$33,3,FALSE))*100),0)</f>
        <v>0</v>
      </c>
      <c r="BL59" s="203">
        <f>IFERROR(('B4'!W102/(VLOOKUP(D5,Currency!$A$2:$D$33,3,FALSE))*100),0)</f>
        <v>0</v>
      </c>
      <c r="BM59" s="203">
        <f>IFERROR(('B4'!X102/(VLOOKUP(D5,Currency!$A$2:$D$33,3,FALSE))*100),0)</f>
        <v>0</v>
      </c>
      <c r="BN59" s="204">
        <f>IFERROR(('B4'!Y102/(VLOOKUP(D5,Currency!$A$2:$D$33,3,FALSE))*100),0)</f>
        <v>0</v>
      </c>
      <c r="BO59" s="203">
        <f>IFERROR(('B4'!Z102/(VLOOKUP(D5,Currency!$A$2:$D$33,3,FALSE))*100),0)</f>
        <v>0</v>
      </c>
      <c r="BP59" s="204">
        <f>IFERROR(('B4'!AA102/(VLOOKUP(D5,Currency!$A$2:$D$33,3,FALSE))*100),0)</f>
        <v>0</v>
      </c>
      <c r="BQ59" s="204">
        <f>IFERROR(('B4'!AB102/(VLOOKUP(D5,Currency!$A$2:$D$33,3,FALSE))*100),0)</f>
        <v>0</v>
      </c>
      <c r="BR59" s="181">
        <f t="shared" si="117"/>
        <v>0</v>
      </c>
      <c r="BT59" s="190" t="s">
        <v>78</v>
      </c>
      <c r="BU59" s="151"/>
      <c r="BV59" s="146">
        <f>IFERROR(('B5'!S102/(VLOOKUP(D5,Currency!$A$2:$D$33,3,FALSE))*100),0)</f>
        <v>0</v>
      </c>
      <c r="BW59" s="203">
        <f>IFERROR(('B5'!T102/(VLOOKUP(D5,Currency!$A$2:$D$33,3,FALSE))*100),0)</f>
        <v>0</v>
      </c>
      <c r="BX59" s="203">
        <f>IFERROR(('B5'!U102/(VLOOKUP(D5,Currency!$A$2:$D$33,3,FALSE))*100),0)</f>
        <v>0</v>
      </c>
      <c r="BY59" s="203">
        <f>IFERROR(('B5'!V102/(VLOOKUP(D5,Currency!$A$2:$D$33,3,FALSE))*100),0)</f>
        <v>0</v>
      </c>
      <c r="BZ59" s="203">
        <f>IFERROR(('B5'!W102/(VLOOKUP(D5,Currency!$A$2:$D$33,3,FALSE))*100),0)</f>
        <v>0</v>
      </c>
      <c r="CA59" s="203">
        <f>IFERROR(('B5'!X102/(VLOOKUP(D5,Currency!$A$2:$D$33,3,FALSE))*100),0)</f>
        <v>0</v>
      </c>
      <c r="CB59" s="204">
        <f>IFERROR(('B5'!Y102/(VLOOKUP(D5,Currency!$A$2:$D$33,3,FALSE))*100),0)</f>
        <v>0</v>
      </c>
      <c r="CC59" s="203">
        <f>IFERROR(('B5'!Z102/(VLOOKUP(D5,Currency!$A$2:$D$33,3,FALSE))*100),0)</f>
        <v>0</v>
      </c>
      <c r="CD59" s="204">
        <f>IFERROR(('B5'!AA102/(VLOOKUP(D5,Currency!$A$2:$D$33,3,FALSE))*100),0)</f>
        <v>0</v>
      </c>
      <c r="CE59" s="204">
        <f>IFERROR(('B5'!AB102/(VLOOKUP(D5,Currency!$A$2:$D$33,3,FALSE))*100),0)</f>
        <v>0</v>
      </c>
      <c r="CF59" s="181">
        <f t="shared" si="118"/>
        <v>0</v>
      </c>
    </row>
    <row r="60" spans="2:84" x14ac:dyDescent="0.2">
      <c r="B60" s="191" t="s">
        <v>0</v>
      </c>
      <c r="C60" s="119"/>
      <c r="D60" s="21">
        <f>IFERROR((Total!D53/(VLOOKUP(D5,Currency!$A$2:$D$33,3,FALSE))*100),0)</f>
        <v>0</v>
      </c>
      <c r="E60" s="198">
        <f>IFERROR((Total!E53/(VLOOKUP(D5,Currency!$A$2:$D$33,3,FALSE))*100),0)</f>
        <v>12945.93797743172</v>
      </c>
      <c r="F60" s="198">
        <f>IFERROR((Total!F53/(VLOOKUP(D5,Currency!$A$2:$D$33,3,FALSE))*100),0)</f>
        <v>13337.934546624141</v>
      </c>
      <c r="G60" s="198">
        <f>IFERROR((Total!G53/(VLOOKUP(D5,Currency!$A$2:$D$33,3,FALSE))*100),0)</f>
        <v>13750.033503980274</v>
      </c>
      <c r="H60" s="198">
        <f>IFERROR((Total!H53/(VLOOKUP(D5,Currency!$A$2:$D$33,3,FALSE))*100),0)</f>
        <v>14172.183655418266</v>
      </c>
      <c r="I60" s="198">
        <f>IFERROR((Total!I53/(VLOOKUP(D5,Currency!$A$2:$D$33,3,FALSE))*100),0)</f>
        <v>0</v>
      </c>
      <c r="J60" s="199">
        <f>IFERROR((Total!J53/(VLOOKUP(D5,Currency!$A$2:$D$33,3,FALSE))*100),0)</f>
        <v>0</v>
      </c>
      <c r="K60" s="198">
        <f>IFERROR((Total!K53/(VLOOKUP(D5,Currency!$A$2:$D$33,3,FALSE))*100),0)</f>
        <v>0</v>
      </c>
      <c r="L60" s="199">
        <f>IFERROR((Total!L53/(VLOOKUP(D5,Currency!$A$2:$D$33,3,FALSE))*100),0)</f>
        <v>0</v>
      </c>
      <c r="M60" s="199">
        <f>IFERROR((Total!M53/(VLOOKUP(D5,Currency!$A$2:$D$33,3,FALSE))*100),0)</f>
        <v>0</v>
      </c>
      <c r="N60" s="181">
        <f t="shared" si="113"/>
        <v>54206.089683454404</v>
      </c>
      <c r="P60" s="191" t="s">
        <v>0</v>
      </c>
      <c r="Q60" s="119"/>
      <c r="R60" s="21">
        <f>IFERROR(('B1'!S103/(VLOOKUP(D5,Currency!$A$2:$D$33,3,FALSE))*100),0)</f>
        <v>0</v>
      </c>
      <c r="S60" s="198">
        <f>IFERROR(('B1'!T103/(VLOOKUP(D5,Currency!$A$2:$D$33,3,FALSE))*100),0)</f>
        <v>12945.93797743172</v>
      </c>
      <c r="T60" s="198">
        <f>IFERROR(('B1'!U103/(VLOOKUP(D5,Currency!$A$2:$D$33,3,FALSE))*100),0)</f>
        <v>13337.934546624141</v>
      </c>
      <c r="U60" s="198">
        <f>IFERROR(('B1'!V103/(VLOOKUP(D5,Currency!$A$2:$D$33,3,FALSE))*100),0)</f>
        <v>13750.033503980274</v>
      </c>
      <c r="V60" s="198">
        <f>IFERROR(('B1'!W103/(VLOOKUP(D5,Currency!$A$2:$D$33,3,FALSE))*100),0)</f>
        <v>14172.183655418266</v>
      </c>
      <c r="W60" s="198">
        <f>IFERROR(('B1'!X103/(VLOOKUP(D5,Currency!$A$2:$D$33,3,FALSE))*100),0)</f>
        <v>0</v>
      </c>
      <c r="X60" s="199">
        <f>IFERROR(('B1'!Y103/(VLOOKUP(D5,Currency!$A$2:$D$33,3,FALSE))*100),0)</f>
        <v>0</v>
      </c>
      <c r="Y60" s="198">
        <f>IFERROR(('B1'!Z103/(VLOOKUP(D5,Currency!$A$2:$D$33,3,FALSE))*100),0)</f>
        <v>0</v>
      </c>
      <c r="Z60" s="199">
        <f>IFERROR(('B1'!AA103/(VLOOKUP(D5,Currency!$A$2:$D$33,3,FALSE))*100),0)</f>
        <v>0</v>
      </c>
      <c r="AA60" s="199">
        <f>IFERROR(('B1'!AB103/(VLOOKUP(D5,Currency!$A$2:$D$33,3,FALSE))*100),0)</f>
        <v>0</v>
      </c>
      <c r="AB60" s="181">
        <f t="shared" si="114"/>
        <v>54206.089683454404</v>
      </c>
      <c r="AD60" s="191" t="s">
        <v>0</v>
      </c>
      <c r="AE60" s="119"/>
      <c r="AF60" s="21">
        <f>IFERROR(('B2'!S103/(VLOOKUP(D5,Currency!$A$2:$D$33,3,FALSE))*100),0)</f>
        <v>0</v>
      </c>
      <c r="AG60" s="198">
        <f>IFERROR(('B2'!T103/(VLOOKUP(D5,Currency!$A$2:$D$33,3,FALSE))*100),0)</f>
        <v>0</v>
      </c>
      <c r="AH60" s="198">
        <f>IFERROR(('B2'!U103/(VLOOKUP(D5,Currency!$A$2:$D$33,3,FALSE))*100),0)</f>
        <v>0</v>
      </c>
      <c r="AI60" s="198">
        <f>IFERROR(('B2'!V103/(VLOOKUP(D5,Currency!$A$2:$D$33,3,FALSE))*100),0)</f>
        <v>0</v>
      </c>
      <c r="AJ60" s="198">
        <f>IFERROR(('B2'!W103/(VLOOKUP(D5,Currency!$A$2:$D$33,3,FALSE))*100),0)</f>
        <v>0</v>
      </c>
      <c r="AK60" s="198">
        <f>IFERROR(('B2'!X103/(VLOOKUP(D5,Currency!$A$2:$D$33,3,FALSE))*100),0)</f>
        <v>0</v>
      </c>
      <c r="AL60" s="199">
        <f>IFERROR(('B2'!Y103/(VLOOKUP(D5,Currency!$A$2:$D$33,3,FALSE))*100),0)</f>
        <v>0</v>
      </c>
      <c r="AM60" s="198">
        <f>IFERROR(('B2'!Z103/(VLOOKUP(D5,Currency!$A$2:$D$33,3,FALSE))*100),0)</f>
        <v>0</v>
      </c>
      <c r="AN60" s="199">
        <f>IFERROR(('B2'!AA103/(VLOOKUP(D5,Currency!$A$2:$D$33,3,FALSE))*100),0)</f>
        <v>0</v>
      </c>
      <c r="AO60" s="199">
        <f>IFERROR(('B2'!AB103/(VLOOKUP(D5,Currency!$A$2:$D$33,3,FALSE))*100),0)</f>
        <v>0</v>
      </c>
      <c r="AP60" s="181">
        <f t="shared" si="115"/>
        <v>0</v>
      </c>
      <c r="AR60" s="191" t="s">
        <v>0</v>
      </c>
      <c r="AS60" s="119"/>
      <c r="AT60" s="21">
        <f>IFERROR(('B3'!S103/(VLOOKUP(D5,Currency!$A$2:$D$33,3,FALSE))*100),0)</f>
        <v>0</v>
      </c>
      <c r="AU60" s="198">
        <f>IFERROR(('B3'!T103/(VLOOKUP(D5,Currency!$A$2:$D$33,3,FALSE))*100),0)</f>
        <v>0</v>
      </c>
      <c r="AV60" s="198">
        <f>IFERROR(('B3'!U103/(VLOOKUP(D5,Currency!$A$2:$D$33,3,FALSE))*100),0)</f>
        <v>0</v>
      </c>
      <c r="AW60" s="198">
        <f>IFERROR(('B3'!V103/(VLOOKUP(D5,Currency!$A$2:$D$33,3,FALSE))*100),0)</f>
        <v>0</v>
      </c>
      <c r="AX60" s="198">
        <f>IFERROR(('B3'!W103/(VLOOKUP(D5,Currency!$A$2:$D$33,3,FALSE))*100),0)</f>
        <v>0</v>
      </c>
      <c r="AY60" s="198">
        <f>IFERROR(('B3'!X103/(VLOOKUP(D5,Currency!$A$2:$D$33,3,FALSE))*100),0)</f>
        <v>0</v>
      </c>
      <c r="AZ60" s="199">
        <f>IFERROR(('B3'!Y103/(VLOOKUP(D5,Currency!$A$2:$D$33,3,FALSE))*100),0)</f>
        <v>0</v>
      </c>
      <c r="BA60" s="198">
        <f>IFERROR(('B3'!Z103/(VLOOKUP(D5,Currency!$A$2:$D$33,3,FALSE))*100),0)</f>
        <v>0</v>
      </c>
      <c r="BB60" s="199">
        <f>IFERROR(('B3'!AA103/(VLOOKUP(D5,Currency!$A$2:$D$33,3,FALSE))*100),0)</f>
        <v>0</v>
      </c>
      <c r="BC60" s="199">
        <f>IFERROR(('B3'!AB103/(VLOOKUP(D5,Currency!$A$2:$D$33,3,FALSE))*100),0)</f>
        <v>0</v>
      </c>
      <c r="BD60" s="181">
        <f t="shared" si="116"/>
        <v>0</v>
      </c>
      <c r="BF60" s="191" t="s">
        <v>0</v>
      </c>
      <c r="BG60" s="119"/>
      <c r="BH60" s="21">
        <f>IFERROR(('B4'!S103/(VLOOKUP(D5,Currency!$A$2:$D$33,3,FALSE))*100),0)</f>
        <v>0</v>
      </c>
      <c r="BI60" s="198">
        <f>IFERROR(('B4'!T103/(VLOOKUP(D5,Currency!$A$2:$D$33,3,FALSE))*100),0)</f>
        <v>0</v>
      </c>
      <c r="BJ60" s="198">
        <f>IFERROR(('B4'!U103/(VLOOKUP(D5,Currency!$A$2:$D$33,3,FALSE))*100),0)</f>
        <v>0</v>
      </c>
      <c r="BK60" s="198">
        <f>IFERROR(('B4'!V103/(VLOOKUP(D5,Currency!$A$2:$D$33,3,FALSE))*100),0)</f>
        <v>0</v>
      </c>
      <c r="BL60" s="198">
        <f>IFERROR(('B4'!W103/(VLOOKUP(D5,Currency!$A$2:$D$33,3,FALSE))*100),0)</f>
        <v>0</v>
      </c>
      <c r="BM60" s="198">
        <f>IFERROR(('B4'!X103/(VLOOKUP(D5,Currency!$A$2:$D$33,3,FALSE))*100),0)</f>
        <v>0</v>
      </c>
      <c r="BN60" s="199">
        <f>IFERROR(('B4'!Y103/(VLOOKUP(D5,Currency!$A$2:$D$33,3,FALSE))*100),0)</f>
        <v>0</v>
      </c>
      <c r="BO60" s="198">
        <f>IFERROR(('B4'!Z103/(VLOOKUP(D5,Currency!$A$2:$D$33,3,FALSE))*100),0)</f>
        <v>0</v>
      </c>
      <c r="BP60" s="199">
        <f>IFERROR(('B4'!AA103/(VLOOKUP(D5,Currency!$A$2:$D$33,3,FALSE))*100),0)</f>
        <v>0</v>
      </c>
      <c r="BQ60" s="199">
        <f>IFERROR(('B4'!AB103/(VLOOKUP(D5,Currency!$A$2:$D$33,3,FALSE))*100),0)</f>
        <v>0</v>
      </c>
      <c r="BR60" s="181">
        <f t="shared" si="117"/>
        <v>0</v>
      </c>
      <c r="BT60" s="191" t="s">
        <v>0</v>
      </c>
      <c r="BU60" s="119"/>
      <c r="BV60" s="21">
        <f>IFERROR(('B5'!S103/(VLOOKUP(D5,Currency!$A$2:$D$33,3,FALSE))*100),0)</f>
        <v>0</v>
      </c>
      <c r="BW60" s="198">
        <f>IFERROR(('B5'!T103/(VLOOKUP(D5,Currency!$A$2:$D$33,3,FALSE))*100),0)</f>
        <v>0</v>
      </c>
      <c r="BX60" s="198">
        <f>IFERROR(('B5'!U103/(VLOOKUP(D5,Currency!$A$2:$D$33,3,FALSE))*100),0)</f>
        <v>0</v>
      </c>
      <c r="BY60" s="198">
        <f>IFERROR(('B5'!V103/(VLOOKUP(D5,Currency!$A$2:$D$33,3,FALSE))*100),0)</f>
        <v>0</v>
      </c>
      <c r="BZ60" s="198">
        <f>IFERROR(('B5'!W103/(VLOOKUP(D5,Currency!$A$2:$D$33,3,FALSE))*100),0)</f>
        <v>0</v>
      </c>
      <c r="CA60" s="198">
        <f>IFERROR(('B5'!X103/(VLOOKUP(D5,Currency!$A$2:$D$33,3,FALSE))*100),0)</f>
        <v>0</v>
      </c>
      <c r="CB60" s="199">
        <f>IFERROR(('B5'!Y103/(VLOOKUP(D5,Currency!$A$2:$D$33,3,FALSE))*100),0)</f>
        <v>0</v>
      </c>
      <c r="CC60" s="198">
        <f>IFERROR(('B5'!Z103/(VLOOKUP(D5,Currency!$A$2:$D$33,3,FALSE))*100),0)</f>
        <v>0</v>
      </c>
      <c r="CD60" s="199">
        <f>IFERROR(('B5'!AA103/(VLOOKUP(D5,Currency!$A$2:$D$33,3,FALSE))*100),0)</f>
        <v>0</v>
      </c>
      <c r="CE60" s="199">
        <f>IFERROR(('B5'!AB103/(VLOOKUP(D5,Currency!$A$2:$D$33,3,FALSE))*100),0)</f>
        <v>0</v>
      </c>
      <c r="CF60" s="181">
        <f t="shared" si="118"/>
        <v>0</v>
      </c>
    </row>
    <row r="61" spans="2:84" x14ac:dyDescent="0.2">
      <c r="B61" s="192" t="s">
        <v>103</v>
      </c>
      <c r="C61" s="119"/>
      <c r="D61" s="21">
        <f>IFERROR((Total!D54/(VLOOKUP(D5,Currency!$A$2:$D$33,3,FALSE))*100),0)</f>
        <v>0</v>
      </c>
      <c r="E61" s="21">
        <f>IFERROR((Total!E54/(VLOOKUP(D5,Currency!$A$2:$D$33,3,FALSE))*100),0)</f>
        <v>0</v>
      </c>
      <c r="F61" s="21">
        <f>IFERROR((Total!F54/(VLOOKUP(D5,Currency!$A$2:$D$33,3,FALSE))*100),0)</f>
        <v>0</v>
      </c>
      <c r="G61" s="21">
        <f>IFERROR((Total!G54/(VLOOKUP(D5,Currency!$A$2:$D$33,3,FALSE))*100),0)</f>
        <v>0</v>
      </c>
      <c r="H61" s="21">
        <f>IFERROR((Total!H54/(VLOOKUP(D5,Currency!$A$2:$D$33,3,FALSE))*100),0)</f>
        <v>0</v>
      </c>
      <c r="I61" s="21">
        <f>IFERROR((Total!I54/(VLOOKUP(D5,Currency!$A$2:$D$33,3,FALSE))*100),0)</f>
        <v>0</v>
      </c>
      <c r="J61" s="119">
        <f>IFERROR((Total!J54/(VLOOKUP(D5,Currency!$A$2:$D$33,3,FALSE))*100),0)</f>
        <v>0</v>
      </c>
      <c r="K61" s="21">
        <f>IFERROR((Total!K54/(VLOOKUP(D5,Currency!$A$2:$D$33,3,FALSE))*100),0)</f>
        <v>0</v>
      </c>
      <c r="L61" s="119">
        <f>IFERROR((Total!L54/(VLOOKUP(D5,Currency!$A$2:$D$33,3,FALSE))*100),0)</f>
        <v>0</v>
      </c>
      <c r="M61" s="119">
        <f>IFERROR((Total!M54/(VLOOKUP(D5,Currency!$A$2:$D$33,3,FALSE))*100),0)</f>
        <v>0</v>
      </c>
      <c r="N61" s="181">
        <f t="shared" si="113"/>
        <v>0</v>
      </c>
      <c r="P61" s="192" t="s">
        <v>96</v>
      </c>
      <c r="Q61" s="119"/>
      <c r="R61" s="21">
        <f>IFERROR(('B1'!S104/(VLOOKUP(D5,Currency!$A$2:$D$33,3,FALSE))*100),0)</f>
        <v>0</v>
      </c>
      <c r="S61" s="21">
        <f>IFERROR(('B1'!T104/(VLOOKUP(D5,Currency!$A$2:$D$33,3,FALSE))*100),0)</f>
        <v>0</v>
      </c>
      <c r="T61" s="21">
        <f>IFERROR(('B1'!U104/(VLOOKUP(D5,Currency!$A$2:$D$33,3,FALSE))*100),0)</f>
        <v>0</v>
      </c>
      <c r="U61" s="21">
        <f>IFERROR(('B1'!V104/(VLOOKUP(D5,Currency!$A$2:$D$33,3,FALSE))*100),0)</f>
        <v>0</v>
      </c>
      <c r="V61" s="21">
        <f>IFERROR(('B1'!W104/(VLOOKUP(D5,Currency!$A$2:$D$33,3,FALSE))*100),0)</f>
        <v>0</v>
      </c>
      <c r="W61" s="21">
        <f>IFERROR(('B1'!X104/(VLOOKUP(D5,Currency!$A$2:$D$33,3,FALSE))*100),0)</f>
        <v>0</v>
      </c>
      <c r="X61" s="119">
        <f>IFERROR(('B1'!Y104/(VLOOKUP(D5,Currency!$A$2:$D$33,3,FALSE))*100),0)</f>
        <v>0</v>
      </c>
      <c r="Y61" s="21">
        <f>IFERROR(('B1'!Z104/(VLOOKUP(D5,Currency!$A$2:$D$33,3,FALSE))*100),0)</f>
        <v>0</v>
      </c>
      <c r="Z61" s="119">
        <f>IFERROR(('B1'!AA104/(VLOOKUP(D5,Currency!$A$2:$D$33,3,FALSE))*100),0)</f>
        <v>0</v>
      </c>
      <c r="AA61" s="119">
        <f>IFERROR(('B1'!AB104/(VLOOKUP(D5,Currency!$A$2:$D$33,3,FALSE))*100),0)</f>
        <v>0</v>
      </c>
      <c r="AB61" s="181">
        <f t="shared" si="114"/>
        <v>0</v>
      </c>
      <c r="AD61" s="192" t="s">
        <v>96</v>
      </c>
      <c r="AE61" s="119"/>
      <c r="AF61" s="21">
        <f>IFERROR(('B2'!S104/(VLOOKUP(D5,Currency!$A$2:$D$33,3,FALSE))*100),0)</f>
        <v>0</v>
      </c>
      <c r="AG61" s="21">
        <f>IFERROR(('B2'!T104/(VLOOKUP(D5,Currency!$A$2:$D$33,3,FALSE))*100),0)</f>
        <v>0</v>
      </c>
      <c r="AH61" s="21">
        <f>IFERROR(('B2'!U104/(VLOOKUP(D5,Currency!$A$2:$D$33,3,FALSE))*100),0)</f>
        <v>0</v>
      </c>
      <c r="AI61" s="21">
        <f>IFERROR(('B2'!V104/(VLOOKUP(D5,Currency!$A$2:$D$33,3,FALSE))*100),0)</f>
        <v>0</v>
      </c>
      <c r="AJ61" s="21">
        <f>IFERROR(('B2'!W104/(VLOOKUP(D5,Currency!$A$2:$D$33,3,FALSE))*100),0)</f>
        <v>0</v>
      </c>
      <c r="AK61" s="21">
        <f>IFERROR(('B2'!X104/(VLOOKUP(D5,Currency!$A$2:$D$33,3,FALSE))*100),0)</f>
        <v>0</v>
      </c>
      <c r="AL61" s="119">
        <f>IFERROR(('B2'!Y104/(VLOOKUP(D5,Currency!$A$2:$D$33,3,FALSE))*100),0)</f>
        <v>0</v>
      </c>
      <c r="AM61" s="21">
        <f>IFERROR(('B2'!Z104/(VLOOKUP(D5,Currency!$A$2:$D$33,3,FALSE))*100),0)</f>
        <v>0</v>
      </c>
      <c r="AN61" s="119">
        <f>IFERROR(('B2'!AA104/(VLOOKUP(D5,Currency!$A$2:$D$33,3,FALSE))*100),0)</f>
        <v>0</v>
      </c>
      <c r="AO61" s="119">
        <f>IFERROR(('B2'!AB104/(VLOOKUP(D5,Currency!$A$2:$D$33,3,FALSE))*100),0)</f>
        <v>0</v>
      </c>
      <c r="AP61" s="181">
        <f t="shared" si="115"/>
        <v>0</v>
      </c>
      <c r="AR61" s="192" t="s">
        <v>96</v>
      </c>
      <c r="AS61" s="119"/>
      <c r="AT61" s="21">
        <f>IFERROR(('B3'!S104/(VLOOKUP(D5,Currency!$A$2:$D$33,3,FALSE))*100),0)</f>
        <v>0</v>
      </c>
      <c r="AU61" s="21">
        <f>IFERROR(('B3'!T104/(VLOOKUP(D5,Currency!$A$2:$D$33,3,FALSE))*100),0)</f>
        <v>0</v>
      </c>
      <c r="AV61" s="21">
        <f>IFERROR(('B3'!U104/(VLOOKUP(D5,Currency!$A$2:$D$33,3,FALSE))*100),0)</f>
        <v>0</v>
      </c>
      <c r="AW61" s="21">
        <f>IFERROR(('B3'!V104/(VLOOKUP(D5,Currency!$A$2:$D$33,3,FALSE))*100),0)</f>
        <v>0</v>
      </c>
      <c r="AX61" s="21">
        <f>IFERROR(('B3'!W104/(VLOOKUP(D5,Currency!$A$2:$D$33,3,FALSE))*100),0)</f>
        <v>0</v>
      </c>
      <c r="AY61" s="21">
        <f>IFERROR(('B3'!X104/(VLOOKUP(D5,Currency!$A$2:$D$33,3,FALSE))*100),0)</f>
        <v>0</v>
      </c>
      <c r="AZ61" s="119">
        <f>IFERROR(('B3'!Y104/(VLOOKUP(D5,Currency!$A$2:$D$33,3,FALSE))*100),0)</f>
        <v>0</v>
      </c>
      <c r="BA61" s="21">
        <f>IFERROR(('B3'!Z104/(VLOOKUP(D5,Currency!$A$2:$D$33,3,FALSE))*100),0)</f>
        <v>0</v>
      </c>
      <c r="BB61" s="119">
        <f>IFERROR(('B3'!AA104/(VLOOKUP(D5,Currency!$A$2:$D$33,3,FALSE))*100),0)</f>
        <v>0</v>
      </c>
      <c r="BC61" s="119">
        <f>IFERROR(('B3'!AB104/(VLOOKUP(D5,Currency!$A$2:$D$33,3,FALSE))*100),0)</f>
        <v>0</v>
      </c>
      <c r="BD61" s="181">
        <f t="shared" si="116"/>
        <v>0</v>
      </c>
      <c r="BF61" s="192" t="s">
        <v>96</v>
      </c>
      <c r="BG61" s="119"/>
      <c r="BH61" s="21">
        <f>IFERROR(('B4'!S104/(VLOOKUP(D5,Currency!$A$2:$D$33,3,FALSE))*100),0)</f>
        <v>0</v>
      </c>
      <c r="BI61" s="21">
        <f>IFERROR(('B4'!T104/(VLOOKUP(D5,Currency!$A$2:$D$33,3,FALSE))*100),0)</f>
        <v>0</v>
      </c>
      <c r="BJ61" s="21">
        <f>IFERROR(('B4'!U104/(VLOOKUP(D5,Currency!$A$2:$D$33,3,FALSE))*100),0)</f>
        <v>0</v>
      </c>
      <c r="BK61" s="21">
        <f>IFERROR(('B4'!V104/(VLOOKUP(D5,Currency!$A$2:$D$33,3,FALSE))*100),0)</f>
        <v>0</v>
      </c>
      <c r="BL61" s="21">
        <f>IFERROR(('B4'!W104/(VLOOKUP(D5,Currency!$A$2:$D$33,3,FALSE))*100),0)</f>
        <v>0</v>
      </c>
      <c r="BM61" s="21">
        <f>IFERROR(('B4'!X104/(VLOOKUP(D5,Currency!$A$2:$D$33,3,FALSE))*100),0)</f>
        <v>0</v>
      </c>
      <c r="BN61" s="119">
        <f>IFERROR(('B4'!Y104/(VLOOKUP(D5,Currency!$A$2:$D$33,3,FALSE))*100),0)</f>
        <v>0</v>
      </c>
      <c r="BO61" s="21">
        <f>IFERROR(('B4'!Z104/(VLOOKUP(D5,Currency!$A$2:$D$33,3,FALSE))*100),0)</f>
        <v>0</v>
      </c>
      <c r="BP61" s="119">
        <f>IFERROR(('B4'!AA104/(VLOOKUP(D5,Currency!$A$2:$D$33,3,FALSE))*100),0)</f>
        <v>0</v>
      </c>
      <c r="BQ61" s="119">
        <f>IFERROR(('B4'!AB104/(VLOOKUP(D5,Currency!$A$2:$D$33,3,FALSE))*100),0)</f>
        <v>0</v>
      </c>
      <c r="BR61" s="181">
        <f t="shared" si="117"/>
        <v>0</v>
      </c>
      <c r="BT61" s="192" t="s">
        <v>96</v>
      </c>
      <c r="BU61" s="119"/>
      <c r="BV61" s="21">
        <f>IFERROR(('B5'!S104/(VLOOKUP(D5,Currency!$A$2:$D$33,3,FALSE))*100),0)</f>
        <v>0</v>
      </c>
      <c r="BW61" s="21">
        <f>IFERROR(('B5'!T104/(VLOOKUP(D5,Currency!$A$2:$D$33,3,FALSE))*100),0)</f>
        <v>0</v>
      </c>
      <c r="BX61" s="21">
        <f>IFERROR(('B5'!U104/(VLOOKUP(D5,Currency!$A$2:$D$33,3,FALSE))*100),0)</f>
        <v>0</v>
      </c>
      <c r="BY61" s="21">
        <f>IFERROR(('B5'!V104/(VLOOKUP(D5,Currency!$A$2:$D$33,3,FALSE))*100),0)</f>
        <v>0</v>
      </c>
      <c r="BZ61" s="21">
        <f>IFERROR(('B5'!W104/(VLOOKUP(D5,Currency!$A$2:$D$33,3,FALSE))*100),0)</f>
        <v>0</v>
      </c>
      <c r="CA61" s="21">
        <f>IFERROR(('B5'!X104/(VLOOKUP(D5,Currency!$A$2:$D$33,3,FALSE))*100),0)</f>
        <v>0</v>
      </c>
      <c r="CB61" s="119">
        <f>IFERROR(('B5'!Y104/(VLOOKUP(D5,Currency!$A$2:$D$33,3,FALSE))*100),0)</f>
        <v>0</v>
      </c>
      <c r="CC61" s="21">
        <f>IFERROR(('B5'!Z104/(VLOOKUP(D5,Currency!$A$2:$D$33,3,FALSE))*100),0)</f>
        <v>0</v>
      </c>
      <c r="CD61" s="119">
        <f>IFERROR(('B5'!AA104/(VLOOKUP(D5,Currency!$A$2:$D$33,3,FALSE))*100),0)</f>
        <v>0</v>
      </c>
      <c r="CE61" s="119">
        <f>IFERROR(('B5'!AB104/(VLOOKUP(D5,Currency!$A$2:$D$33,3,FALSE))*100),0)</f>
        <v>0</v>
      </c>
      <c r="CF61" s="181">
        <f t="shared" si="118"/>
        <v>0</v>
      </c>
    </row>
    <row r="62" spans="2:84" x14ac:dyDescent="0.2">
      <c r="B62" s="192" t="s">
        <v>108</v>
      </c>
      <c r="C62" s="119"/>
      <c r="D62" s="21">
        <f>IFERROR((Total!D55/(VLOOKUP(D5,Currency!$A$2:$D$33,3,FALSE))*100),0)</f>
        <v>0</v>
      </c>
      <c r="E62" s="21">
        <f>IFERROR((Total!E55/(VLOOKUP(D5,Currency!$A$2:$D$33,3,FALSE))*100),0)</f>
        <v>0</v>
      </c>
      <c r="F62" s="21">
        <f>IFERROR((Total!F55/(VLOOKUP(D5,Currency!$A$2:$D$33,3,FALSE))*100),0)</f>
        <v>0</v>
      </c>
      <c r="G62" s="21">
        <f>IFERROR((Total!G55/(VLOOKUP(D5,Currency!$A$2:$D$33,3,FALSE))*100),0)</f>
        <v>0</v>
      </c>
      <c r="H62" s="21">
        <f>IFERROR((Total!H55/(VLOOKUP(D5,Currency!$A$2:$D$33,3,FALSE))*100),0)</f>
        <v>0</v>
      </c>
      <c r="I62" s="21">
        <f>IFERROR((Total!I55/(VLOOKUP(D5,Currency!$A$2:$D$33,3,FALSE))*100),0)</f>
        <v>0</v>
      </c>
      <c r="J62" s="21">
        <f>IFERROR((Total!J55/(VLOOKUP(D5,Currency!$A$2:$D$33,3,FALSE))*100),0)</f>
        <v>0</v>
      </c>
      <c r="K62" s="21">
        <f>IFERROR((Total!K55/(VLOOKUP(D5,Currency!$A$2:$D$33,3,FALSE))*100),0)</f>
        <v>0</v>
      </c>
      <c r="L62" s="119">
        <f>IFERROR((Total!L55/(VLOOKUP(D5,Currency!$A$2:$D$33,3,FALSE))*100),0)</f>
        <v>0</v>
      </c>
      <c r="M62" s="119">
        <f>IFERROR((Total!M55/(VLOOKUP(D5,Currency!$A$2:$D$33,3,FALSE))*100),0)</f>
        <v>0</v>
      </c>
      <c r="N62" s="181">
        <f t="shared" si="113"/>
        <v>0</v>
      </c>
      <c r="P62" s="192" t="s">
        <v>108</v>
      </c>
      <c r="Q62" s="119"/>
      <c r="R62" s="21">
        <f>IFERROR(('B1'!S105/(VLOOKUP(D5,Currency!$A$2:$D$33,3,FALSE))*100),0)</f>
        <v>0</v>
      </c>
      <c r="S62" s="21">
        <f>IFERROR(('B1'!T105/(VLOOKUP(D5,Currency!$A$2:$D$33,3,FALSE))*100),0)</f>
        <v>0</v>
      </c>
      <c r="T62" s="21">
        <f>IFERROR(('B1'!U105/(VLOOKUP(D5,Currency!$A$2:$D$33,3,FALSE))*100),0)</f>
        <v>0</v>
      </c>
      <c r="U62" s="21">
        <f>IFERROR(('B1'!V105/(VLOOKUP(D5,Currency!$A$2:$D$33,3,FALSE))*100),0)</f>
        <v>0</v>
      </c>
      <c r="V62" s="21">
        <f>IFERROR(('B1'!W105/(VLOOKUP(D5,Currency!$A$2:$D$33,3,FALSE))*100),0)</f>
        <v>0</v>
      </c>
      <c r="W62" s="21">
        <f>IFERROR(('B1'!X105/(VLOOKUP(D5,Currency!$A$2:$D$33,3,FALSE))*100),0)</f>
        <v>0</v>
      </c>
      <c r="X62" s="21">
        <f>IFERROR(('B1'!Y105/(VLOOKUP(D5,Currency!$A$2:$D$33,3,FALSE))*100),0)</f>
        <v>0</v>
      </c>
      <c r="Y62" s="21">
        <f>IFERROR(('B1'!Z105/(VLOOKUP(D5,Currency!$A$2:$D$33,3,FALSE))*100),0)</f>
        <v>0</v>
      </c>
      <c r="Z62" s="119">
        <f>IFERROR(('B1'!AA105/(VLOOKUP(D5,Currency!$A$2:$D$33,3,FALSE))*100),0)</f>
        <v>0</v>
      </c>
      <c r="AA62" s="119">
        <f>IFERROR(('B1'!AB105/(VLOOKUP(D5,Currency!$A$2:$D$33,3,FALSE))*100),0)</f>
        <v>0</v>
      </c>
      <c r="AB62" s="181">
        <f t="shared" si="114"/>
        <v>0</v>
      </c>
      <c r="AD62" s="192" t="s">
        <v>108</v>
      </c>
      <c r="AE62" s="119"/>
      <c r="AF62" s="21">
        <f>IFERROR(('B2'!S105/(VLOOKUP(D5,Currency!$A$2:$D$33,3,FALSE))*100),0)</f>
        <v>0</v>
      </c>
      <c r="AG62" s="21">
        <f>IFERROR(('B2'!T105/(VLOOKUP(D5,Currency!$A$2:$D$33,3,FALSE))*100),0)</f>
        <v>0</v>
      </c>
      <c r="AH62" s="21">
        <f>IFERROR(('B2'!U105/(VLOOKUP(D5,Currency!$A$2:$D$33,3,FALSE))*100),0)</f>
        <v>0</v>
      </c>
      <c r="AI62" s="21">
        <f>IFERROR(('B2'!V105/(VLOOKUP(D5,Currency!$A$2:$D$33,3,FALSE))*100),0)</f>
        <v>0</v>
      </c>
      <c r="AJ62" s="21">
        <f>IFERROR(('B2'!W105/(VLOOKUP(D5,Currency!$A$2:$D$33,3,FALSE))*100),0)</f>
        <v>0</v>
      </c>
      <c r="AK62" s="21">
        <f>IFERROR(('B2'!X105/(VLOOKUP(D5,Currency!$A$2:$D$33,3,FALSE))*100),0)</f>
        <v>0</v>
      </c>
      <c r="AL62" s="21">
        <f>IFERROR(('B2'!Y105/(VLOOKUP(D5,Currency!$A$2:$D$33,3,FALSE))*100),0)</f>
        <v>0</v>
      </c>
      <c r="AM62" s="21">
        <f>IFERROR(('B2'!Z105/(VLOOKUP(D5,Currency!$A$2:$D$33,3,FALSE))*100),0)</f>
        <v>0</v>
      </c>
      <c r="AN62" s="119">
        <f>IFERROR(('B2'!AA105/(VLOOKUP(D5,Currency!$A$2:$D$33,3,FALSE))*100),0)</f>
        <v>0</v>
      </c>
      <c r="AO62" s="119">
        <f>IFERROR(('B2'!AB105/(VLOOKUP(D5,Currency!$A$2:$D$33,3,FALSE))*100),0)</f>
        <v>0</v>
      </c>
      <c r="AP62" s="181">
        <f t="shared" si="115"/>
        <v>0</v>
      </c>
      <c r="AR62" s="192" t="s">
        <v>108</v>
      </c>
      <c r="AS62" s="119"/>
      <c r="AT62" s="21">
        <f>IFERROR(('B3'!S105/(VLOOKUP(D5,Currency!$A$2:$D$33,3,FALSE))*100),0)</f>
        <v>0</v>
      </c>
      <c r="AU62" s="21">
        <f>IFERROR(('B3'!T105/(VLOOKUP(D5,Currency!$A$2:$D$33,3,FALSE))*100),0)</f>
        <v>0</v>
      </c>
      <c r="AV62" s="21">
        <f>IFERROR(('B3'!U105/(VLOOKUP(D5,Currency!$A$2:$D$33,3,FALSE))*100),0)</f>
        <v>0</v>
      </c>
      <c r="AW62" s="21">
        <f>IFERROR(('B3'!V105/(VLOOKUP(D5,Currency!$A$2:$D$33,3,FALSE))*100),0)</f>
        <v>0</v>
      </c>
      <c r="AX62" s="21">
        <f>IFERROR(('B3'!W105/(VLOOKUP(D5,Currency!$A$2:$D$33,3,FALSE))*100),0)</f>
        <v>0</v>
      </c>
      <c r="AY62" s="21">
        <f>IFERROR(('B3'!X105/(VLOOKUP(D5,Currency!$A$2:$D$33,3,FALSE))*100),0)</f>
        <v>0</v>
      </c>
      <c r="AZ62" s="21">
        <f>IFERROR(('B3'!Y105/(VLOOKUP(D5,Currency!$A$2:$D$33,3,FALSE))*100),0)</f>
        <v>0</v>
      </c>
      <c r="BA62" s="21">
        <f>IFERROR(('B3'!Z105/(VLOOKUP(D5,Currency!$A$2:$D$33,3,FALSE))*100),0)</f>
        <v>0</v>
      </c>
      <c r="BB62" s="119">
        <f>IFERROR(('B3'!AA105/(VLOOKUP(D5,Currency!$A$2:$D$33,3,FALSE))*100),0)</f>
        <v>0</v>
      </c>
      <c r="BC62" s="119">
        <f>IFERROR(('B3'!AB105/(VLOOKUP(D5,Currency!$A$2:$D$33,3,FALSE))*100),0)</f>
        <v>0</v>
      </c>
      <c r="BD62" s="181">
        <f t="shared" si="116"/>
        <v>0</v>
      </c>
      <c r="BF62" s="192" t="s">
        <v>108</v>
      </c>
      <c r="BG62" s="119"/>
      <c r="BH62" s="21">
        <f>IFERROR(('B4'!S105/(VLOOKUP(D5,Currency!$A$2:$D$33,3,FALSE))*100),0)</f>
        <v>0</v>
      </c>
      <c r="BI62" s="21">
        <f>IFERROR(('B4'!T105/(VLOOKUP(D5,Currency!$A$2:$D$33,3,FALSE))*100),0)</f>
        <v>0</v>
      </c>
      <c r="BJ62" s="21">
        <f>IFERROR(('B4'!U105/(VLOOKUP(D5,Currency!$A$2:$D$33,3,FALSE))*100),0)</f>
        <v>0</v>
      </c>
      <c r="BK62" s="21">
        <f>IFERROR(('B4'!V105/(VLOOKUP(D5,Currency!$A$2:$D$33,3,FALSE))*100),0)</f>
        <v>0</v>
      </c>
      <c r="BL62" s="21">
        <f>IFERROR(('B4'!W105/(VLOOKUP(D5,Currency!$A$2:$D$33,3,FALSE))*100),0)</f>
        <v>0</v>
      </c>
      <c r="BM62" s="21">
        <f>IFERROR(('B4'!X105/(VLOOKUP(D5,Currency!$A$2:$D$33,3,FALSE))*100),0)</f>
        <v>0</v>
      </c>
      <c r="BN62" s="21">
        <f>IFERROR(('B4'!Y105/(VLOOKUP(D5,Currency!$A$2:$D$33,3,FALSE))*100),0)</f>
        <v>0</v>
      </c>
      <c r="BO62" s="21">
        <f>IFERROR(('B4'!Z105/(VLOOKUP(D5,Currency!$A$2:$D$33,3,FALSE))*100),0)</f>
        <v>0</v>
      </c>
      <c r="BP62" s="119">
        <f>IFERROR(('B4'!AA105/(VLOOKUP(D5,Currency!$A$2:$D$33,3,FALSE))*100),0)</f>
        <v>0</v>
      </c>
      <c r="BQ62" s="119">
        <f>IFERROR(('B4'!AB105/(VLOOKUP(D5,Currency!$A$2:$D$33,3,FALSE))*100),0)</f>
        <v>0</v>
      </c>
      <c r="BR62" s="181">
        <f t="shared" si="117"/>
        <v>0</v>
      </c>
      <c r="BT62" s="192" t="s">
        <v>108</v>
      </c>
      <c r="BU62" s="119"/>
      <c r="BV62" s="21">
        <f>IFERROR(('B5'!S105/(VLOOKUP(D5,Currency!$A$2:$D$33,3,FALSE))*100),0)</f>
        <v>0</v>
      </c>
      <c r="BW62" s="21">
        <f>IFERROR(('B5'!T105/(VLOOKUP(D5,Currency!$A$2:$D$33,3,FALSE))*100),0)</f>
        <v>0</v>
      </c>
      <c r="BX62" s="21">
        <f>IFERROR(('B5'!U105/(VLOOKUP(D5,Currency!$A$2:$D$33,3,FALSE))*100),0)</f>
        <v>0</v>
      </c>
      <c r="BY62" s="21">
        <f>IFERROR(('B5'!V105/(VLOOKUP(D5,Currency!$A$2:$D$33,3,FALSE))*100),0)</f>
        <v>0</v>
      </c>
      <c r="BZ62" s="21">
        <f>IFERROR(('B5'!W105/(VLOOKUP(D5,Currency!$A$2:$D$33,3,FALSE))*100),0)</f>
        <v>0</v>
      </c>
      <c r="CA62" s="21">
        <f>IFERROR(('B5'!X105/(VLOOKUP(D5,Currency!$A$2:$D$33,3,FALSE))*100),0)</f>
        <v>0</v>
      </c>
      <c r="CB62" s="21">
        <f>IFERROR(('B5'!Y105/(VLOOKUP(D5,Currency!$A$2:$D$33,3,FALSE))*100),0)</f>
        <v>0</v>
      </c>
      <c r="CC62" s="21">
        <f>IFERROR(('B5'!Z105/(VLOOKUP(D5,Currency!$A$2:$D$33,3,FALSE))*100),0)</f>
        <v>0</v>
      </c>
      <c r="CD62" s="119">
        <f>IFERROR(('B5'!AA105/(VLOOKUP(D5,Currency!$A$2:$D$33,3,FALSE))*100),0)</f>
        <v>0</v>
      </c>
      <c r="CE62" s="119">
        <f>IFERROR(('B5'!AB105/(VLOOKUP(D5,Currency!$A$2:$D$33,3,FALSE))*100),0)</f>
        <v>0</v>
      </c>
      <c r="CF62" s="181">
        <f t="shared" si="118"/>
        <v>0</v>
      </c>
    </row>
    <row r="63" spans="2:84" x14ac:dyDescent="0.2">
      <c r="B63" s="191" t="s">
        <v>545</v>
      </c>
      <c r="C63" s="119"/>
      <c r="D63" s="21">
        <f>IFERROR((Total!D56/(VLOOKUP(D5,Currency!$A$2:$D$33,3,FALSE))*100),0)</f>
        <v>0</v>
      </c>
      <c r="E63" s="21">
        <f>IFERROR((Total!E56/(VLOOKUP(D5,Currency!$A$2:$D$33,3,FALSE))*100),0)</f>
        <v>0</v>
      </c>
      <c r="F63" s="21">
        <f>IFERROR((Total!F56/(VLOOKUP(D5,Currency!$A$2:$D$33,3,FALSE))*100),0)</f>
        <v>0</v>
      </c>
      <c r="G63" s="21">
        <f>IFERROR((Total!G56/(VLOOKUP(D5,Currency!$A$2:$D$33,3,FALSE))*100),0)</f>
        <v>0</v>
      </c>
      <c r="H63" s="21">
        <f>IFERROR((Total!H56/(VLOOKUP(D5,Currency!$A$2:$D$33,3,FALSE))*100),0)</f>
        <v>0</v>
      </c>
      <c r="I63" s="21">
        <f>IFERROR((Total!I56/(VLOOKUP(D5,Currency!$A$2:$D$33,3,FALSE))*100),0)</f>
        <v>0</v>
      </c>
      <c r="J63" s="21">
        <f>IFERROR((Total!J56/(VLOOKUP(D5,Currency!$A$2:$D$33,3,FALSE))*100),0)</f>
        <v>0</v>
      </c>
      <c r="K63" s="21">
        <f>IFERROR((Total!K56/(VLOOKUP(D5,Currency!$A$2:$D$33,3,FALSE))*100),0)</f>
        <v>0</v>
      </c>
      <c r="L63" s="119">
        <f>IFERROR((Total!L56/(VLOOKUP(D5,Currency!$A$2:$D$33,3,FALSE))*100),0)</f>
        <v>0</v>
      </c>
      <c r="M63" s="119">
        <f>IFERROR((Total!M56/(VLOOKUP(D5,Currency!$A$2:$D$33,3,FALSE))*100),0)</f>
        <v>0</v>
      </c>
      <c r="N63" s="181">
        <f t="shared" si="113"/>
        <v>0</v>
      </c>
      <c r="P63" s="191" t="s">
        <v>545</v>
      </c>
      <c r="Q63" s="119"/>
      <c r="R63" s="21">
        <f>IFERROR(('B1'!S106/(VLOOKUP(D5,Currency!$A$2:$D$33,3,FALSE))*100),0)</f>
        <v>0</v>
      </c>
      <c r="S63" s="21">
        <f>IFERROR(('B1'!T106/(VLOOKUP(D5,Currency!$A$2:$D$33,3,FALSE))*100),0)</f>
        <v>0</v>
      </c>
      <c r="T63" s="21">
        <f>IFERROR(('B1'!U106/(VLOOKUP(D5,Currency!$A$2:$D$33,3,FALSE))*100),0)</f>
        <v>0</v>
      </c>
      <c r="U63" s="21">
        <f>IFERROR(('B1'!V106/(VLOOKUP(D5,Currency!$A$2:$D$33,3,FALSE))*100),0)</f>
        <v>0</v>
      </c>
      <c r="V63" s="21">
        <f>IFERROR(('B1'!W106/(VLOOKUP(D5,Currency!$A$2:$D$33,3,FALSE))*100),0)</f>
        <v>0</v>
      </c>
      <c r="W63" s="21">
        <f>IFERROR(('B1'!X106/(VLOOKUP(D5,Currency!$A$2:$D$33,3,FALSE))*100),0)</f>
        <v>0</v>
      </c>
      <c r="X63" s="21">
        <f>IFERROR(('B1'!Y106/(VLOOKUP(D5,Currency!$A$2:$D$33,3,FALSE))*100),0)</f>
        <v>0</v>
      </c>
      <c r="Y63" s="21">
        <f>IFERROR(('B1'!Z106/(VLOOKUP(D5,Currency!$A$2:$D$33,3,FALSE))*100),0)</f>
        <v>0</v>
      </c>
      <c r="Z63" s="119">
        <f>IFERROR(('B1'!AA106/(VLOOKUP(D5,Currency!$A$2:$D$33,3,FALSE))*100),0)</f>
        <v>0</v>
      </c>
      <c r="AA63" s="119">
        <f>IFERROR(('B1'!AB106/(VLOOKUP(D5,Currency!$A$2:$D$33,3,FALSE))*100),0)</f>
        <v>0</v>
      </c>
      <c r="AB63" s="181">
        <f t="shared" si="114"/>
        <v>0</v>
      </c>
      <c r="AD63" s="191" t="s">
        <v>545</v>
      </c>
      <c r="AE63" s="119"/>
      <c r="AF63" s="21">
        <f>IFERROR(('B2'!S106/(VLOOKUP(D5,Currency!$A$2:$D$33,3,FALSE))*100),0)</f>
        <v>0</v>
      </c>
      <c r="AG63" s="21">
        <f>IFERROR(('B2'!T106/(VLOOKUP(D5,Currency!$A$2:$D$33,3,FALSE))*100),0)</f>
        <v>0</v>
      </c>
      <c r="AH63" s="21">
        <f>IFERROR(('B2'!U106/(VLOOKUP(D5,Currency!$A$2:$D$33,3,FALSE))*100),0)</f>
        <v>0</v>
      </c>
      <c r="AI63" s="21">
        <f>IFERROR(('B2'!V106/(VLOOKUP(D5,Currency!$A$2:$D$33,3,FALSE))*100),0)</f>
        <v>0</v>
      </c>
      <c r="AJ63" s="21">
        <f>IFERROR(('B2'!W106/(VLOOKUP(D5,Currency!$A$2:$D$33,3,FALSE))*100),0)</f>
        <v>0</v>
      </c>
      <c r="AK63" s="21">
        <f>IFERROR(('B2'!X106/(VLOOKUP(D5,Currency!$A$2:$D$33,3,FALSE))*100),0)</f>
        <v>0</v>
      </c>
      <c r="AL63" s="21">
        <f>IFERROR(('B2'!Y106/(VLOOKUP(D5,Currency!$A$2:$D$33,3,FALSE))*100),0)</f>
        <v>0</v>
      </c>
      <c r="AM63" s="21">
        <f>IFERROR(('B2'!Z106/(VLOOKUP(D5,Currency!$A$2:$D$33,3,FALSE))*100),0)</f>
        <v>0</v>
      </c>
      <c r="AN63" s="119">
        <f>IFERROR(('B2'!AA106/(VLOOKUP(D5,Currency!$A$2:$D$33,3,FALSE))*100),0)</f>
        <v>0</v>
      </c>
      <c r="AO63" s="119">
        <f>IFERROR(('B2'!AB106/(VLOOKUP(D5,Currency!$A$2:$D$33,3,FALSE))*100),0)</f>
        <v>0</v>
      </c>
      <c r="AP63" s="181">
        <f t="shared" si="115"/>
        <v>0</v>
      </c>
      <c r="AR63" s="191" t="s">
        <v>545</v>
      </c>
      <c r="AS63" s="119"/>
      <c r="AT63" s="21">
        <f>IFERROR(('B3'!S106/(VLOOKUP(D5,Currency!$A$2:$D$33,3,FALSE))*100),0)</f>
        <v>0</v>
      </c>
      <c r="AU63" s="21">
        <f>IFERROR(('B3'!T106/(VLOOKUP(D5,Currency!$A$2:$D$33,3,FALSE))*100),0)</f>
        <v>0</v>
      </c>
      <c r="AV63" s="21">
        <f>IFERROR(('B3'!U106/(VLOOKUP(D5,Currency!$A$2:$D$33,3,FALSE))*100),0)</f>
        <v>0</v>
      </c>
      <c r="AW63" s="21">
        <f>IFERROR(('B3'!V106/(VLOOKUP(D5,Currency!$A$2:$D$33,3,FALSE))*100),0)</f>
        <v>0</v>
      </c>
      <c r="AX63" s="21">
        <f>IFERROR(('B3'!W106/(VLOOKUP(D5,Currency!$A$2:$D$33,3,FALSE))*100),0)</f>
        <v>0</v>
      </c>
      <c r="AY63" s="21">
        <f>IFERROR(('B3'!X106/(VLOOKUP(D5,Currency!$A$2:$D$33,3,FALSE))*100),0)</f>
        <v>0</v>
      </c>
      <c r="AZ63" s="21">
        <f>IFERROR(('B3'!Y106/(VLOOKUP(D5,Currency!$A$2:$D$33,3,FALSE))*100),0)</f>
        <v>0</v>
      </c>
      <c r="BA63" s="21">
        <f>IFERROR(('B3'!Z106/(VLOOKUP(D5,Currency!$A$2:$D$33,3,FALSE))*100),0)</f>
        <v>0</v>
      </c>
      <c r="BB63" s="119">
        <f>IFERROR(('B3'!AA106/(VLOOKUP(D5,Currency!$A$2:$D$33,3,FALSE))*100),0)</f>
        <v>0</v>
      </c>
      <c r="BC63" s="119">
        <f>IFERROR(('B3'!AB106/(VLOOKUP(D5,Currency!$A$2:$D$33,3,FALSE))*100),0)</f>
        <v>0</v>
      </c>
      <c r="BD63" s="181">
        <f t="shared" si="116"/>
        <v>0</v>
      </c>
      <c r="BF63" s="191" t="s">
        <v>545</v>
      </c>
      <c r="BG63" s="119"/>
      <c r="BH63" s="21">
        <f>IFERROR(('B4'!S106/(VLOOKUP(D5,Currency!$A$2:$D$33,3,FALSE))*100),0)</f>
        <v>0</v>
      </c>
      <c r="BI63" s="21">
        <f>IFERROR(('B4'!T106/(VLOOKUP(D5,Currency!$A$2:$D$33,3,FALSE))*100),0)</f>
        <v>0</v>
      </c>
      <c r="BJ63" s="21">
        <f>IFERROR(('B4'!U106/(VLOOKUP(D5,Currency!$A$2:$D$33,3,FALSE))*100),0)</f>
        <v>0</v>
      </c>
      <c r="BK63" s="21">
        <f>IFERROR(('B4'!V106/(VLOOKUP(D5,Currency!$A$2:$D$33,3,FALSE))*100),0)</f>
        <v>0</v>
      </c>
      <c r="BL63" s="21">
        <f>IFERROR(('B4'!W106/(VLOOKUP(D5,Currency!$A$2:$D$33,3,FALSE))*100),0)</f>
        <v>0</v>
      </c>
      <c r="BM63" s="21">
        <f>IFERROR(('B4'!X106/(VLOOKUP(D5,Currency!$A$2:$D$33,3,FALSE))*100),0)</f>
        <v>0</v>
      </c>
      <c r="BN63" s="21">
        <f>IFERROR(('B4'!Y106/(VLOOKUP(D5,Currency!$A$2:$D$33,3,FALSE))*100),0)</f>
        <v>0</v>
      </c>
      <c r="BO63" s="21">
        <f>IFERROR(('B4'!Z106/(VLOOKUP(D5,Currency!$A$2:$D$33,3,FALSE))*100),0)</f>
        <v>0</v>
      </c>
      <c r="BP63" s="119">
        <f>IFERROR(('B4'!AA106/(VLOOKUP(D5,Currency!$A$2:$D$33,3,FALSE))*100),0)</f>
        <v>0</v>
      </c>
      <c r="BQ63" s="119">
        <f>IFERROR(('B4'!AB106/(VLOOKUP(D5,Currency!$A$2:$D$33,3,FALSE))*100),0)</f>
        <v>0</v>
      </c>
      <c r="BR63" s="181">
        <f t="shared" si="117"/>
        <v>0</v>
      </c>
      <c r="BT63" s="191" t="s">
        <v>545</v>
      </c>
      <c r="BU63" s="119"/>
      <c r="BV63" s="21">
        <f>IFERROR(('B5'!S106/(VLOOKUP(D5,Currency!$A$2:$D$33,3,FALSE))*100),0)</f>
        <v>0</v>
      </c>
      <c r="BW63" s="21">
        <f>IFERROR(('B5'!T106/(VLOOKUP(D5,Currency!$A$2:$D$33,3,FALSE))*100),0)</f>
        <v>0</v>
      </c>
      <c r="BX63" s="21">
        <f>IFERROR(('B5'!U106/(VLOOKUP(D5,Currency!$A$2:$D$33,3,FALSE))*100),0)</f>
        <v>0</v>
      </c>
      <c r="BY63" s="21">
        <f>IFERROR(('B5'!V106/(VLOOKUP(D5,Currency!$A$2:$D$33,3,FALSE))*100),0)</f>
        <v>0</v>
      </c>
      <c r="BZ63" s="21">
        <f>IFERROR(('B5'!W106/(VLOOKUP(D5,Currency!$A$2:$D$33,3,FALSE))*100),0)</f>
        <v>0</v>
      </c>
      <c r="CA63" s="21">
        <f>IFERROR(('B5'!X106/(VLOOKUP(D5,Currency!$A$2:$D$33,3,FALSE))*100),0)</f>
        <v>0</v>
      </c>
      <c r="CB63" s="21">
        <f>IFERROR(('B5'!Y106/(VLOOKUP(D5,Currency!$A$2:$D$33,3,FALSE))*100),0)</f>
        <v>0</v>
      </c>
      <c r="CC63" s="21">
        <f>IFERROR(('B5'!Z106/(VLOOKUP(D5,Currency!$A$2:$D$33,3,FALSE))*100),0)</f>
        <v>0</v>
      </c>
      <c r="CD63" s="119">
        <f>IFERROR(('B5'!AA106/(VLOOKUP(D5,Currency!$A$2:$D$33,3,FALSE))*100),0)</f>
        <v>0</v>
      </c>
      <c r="CE63" s="119">
        <f>IFERROR(('B5'!AB106/(VLOOKUP(D5,Currency!$A$2:$D$33,3,FALSE))*100),0)</f>
        <v>0</v>
      </c>
      <c r="CF63" s="181">
        <f t="shared" si="118"/>
        <v>0</v>
      </c>
    </row>
    <row r="64" spans="2:84" ht="15" thickBot="1" x14ac:dyDescent="0.25">
      <c r="B64" s="193" t="s">
        <v>101</v>
      </c>
      <c r="C64" s="194"/>
      <c r="D64" s="152">
        <f>+SUM(D59:D63)</f>
        <v>0</v>
      </c>
      <c r="E64" s="152">
        <f t="shared" ref="E64:K64" si="119">+SUM(E59:E63)</f>
        <v>64729.689887158602</v>
      </c>
      <c r="F64" s="152">
        <f t="shared" si="119"/>
        <v>66689.672733120708</v>
      </c>
      <c r="G64" s="152">
        <f t="shared" si="119"/>
        <v>68750.16751990137</v>
      </c>
      <c r="H64" s="152">
        <f t="shared" si="119"/>
        <v>70860.918277091332</v>
      </c>
      <c r="I64" s="152">
        <f t="shared" si="119"/>
        <v>0</v>
      </c>
      <c r="J64" s="152">
        <f t="shared" si="119"/>
        <v>0</v>
      </c>
      <c r="K64" s="152">
        <f t="shared" si="119"/>
        <v>0</v>
      </c>
      <c r="L64" s="194">
        <f t="shared" ref="L64:M64" si="120">+SUM(L59:L63)</f>
        <v>0</v>
      </c>
      <c r="M64" s="194">
        <f t="shared" si="120"/>
        <v>0</v>
      </c>
      <c r="N64" s="182">
        <f t="shared" si="113"/>
        <v>271030.44841727201</v>
      </c>
      <c r="P64" s="193" t="s">
        <v>101</v>
      </c>
      <c r="Q64" s="194"/>
      <c r="R64" s="152">
        <f>+SUM(R59:R63)</f>
        <v>0</v>
      </c>
      <c r="S64" s="152">
        <f t="shared" ref="S64:Y64" si="121">+SUM(S59:S63)</f>
        <v>64729.689887158602</v>
      </c>
      <c r="T64" s="152">
        <f t="shared" si="121"/>
        <v>66689.672733120708</v>
      </c>
      <c r="U64" s="152">
        <f t="shared" si="121"/>
        <v>68750.16751990137</v>
      </c>
      <c r="V64" s="152">
        <f t="shared" si="121"/>
        <v>70860.918277091332</v>
      </c>
      <c r="W64" s="152">
        <f t="shared" si="121"/>
        <v>0</v>
      </c>
      <c r="X64" s="152">
        <f t="shared" si="121"/>
        <v>0</v>
      </c>
      <c r="Y64" s="152">
        <f t="shared" si="121"/>
        <v>0</v>
      </c>
      <c r="Z64" s="194">
        <f t="shared" ref="Z64:AA64" si="122">+SUM(Z59:Z63)</f>
        <v>0</v>
      </c>
      <c r="AA64" s="194">
        <f t="shared" si="122"/>
        <v>0</v>
      </c>
      <c r="AB64" s="182">
        <f t="shared" si="114"/>
        <v>271030.44841727201</v>
      </c>
      <c r="AD64" s="193" t="s">
        <v>101</v>
      </c>
      <c r="AE64" s="194"/>
      <c r="AF64" s="152">
        <f>+SUM(AF59:AF63)</f>
        <v>0</v>
      </c>
      <c r="AG64" s="152">
        <f t="shared" ref="AG64:AM64" si="123">+SUM(AG59:AG63)</f>
        <v>0</v>
      </c>
      <c r="AH64" s="152">
        <f t="shared" si="123"/>
        <v>0</v>
      </c>
      <c r="AI64" s="152">
        <f t="shared" si="123"/>
        <v>0</v>
      </c>
      <c r="AJ64" s="152">
        <f t="shared" si="123"/>
        <v>0</v>
      </c>
      <c r="AK64" s="152">
        <f t="shared" si="123"/>
        <v>0</v>
      </c>
      <c r="AL64" s="152">
        <f t="shared" si="123"/>
        <v>0</v>
      </c>
      <c r="AM64" s="152">
        <f t="shared" si="123"/>
        <v>0</v>
      </c>
      <c r="AN64" s="194">
        <f t="shared" ref="AN64:AO64" si="124">+SUM(AN59:AN63)</f>
        <v>0</v>
      </c>
      <c r="AO64" s="194">
        <f t="shared" si="124"/>
        <v>0</v>
      </c>
      <c r="AP64" s="182">
        <f t="shared" si="115"/>
        <v>0</v>
      </c>
      <c r="AR64" s="193" t="s">
        <v>101</v>
      </c>
      <c r="AS64" s="194"/>
      <c r="AT64" s="152">
        <f>+SUM(AT59:AT63)</f>
        <v>0</v>
      </c>
      <c r="AU64" s="152">
        <f t="shared" ref="AU64:BA64" si="125">+SUM(AU59:AU63)</f>
        <v>0</v>
      </c>
      <c r="AV64" s="152">
        <f t="shared" si="125"/>
        <v>0</v>
      </c>
      <c r="AW64" s="152">
        <f t="shared" si="125"/>
        <v>0</v>
      </c>
      <c r="AX64" s="152">
        <f t="shared" si="125"/>
        <v>0</v>
      </c>
      <c r="AY64" s="152">
        <f t="shared" si="125"/>
        <v>0</v>
      </c>
      <c r="AZ64" s="152">
        <f t="shared" si="125"/>
        <v>0</v>
      </c>
      <c r="BA64" s="152">
        <f t="shared" si="125"/>
        <v>0</v>
      </c>
      <c r="BB64" s="194">
        <f t="shared" ref="BB64:BC64" si="126">+SUM(BB59:BB63)</f>
        <v>0</v>
      </c>
      <c r="BC64" s="194">
        <f t="shared" si="126"/>
        <v>0</v>
      </c>
      <c r="BD64" s="182">
        <f t="shared" si="116"/>
        <v>0</v>
      </c>
      <c r="BF64" s="193" t="s">
        <v>101</v>
      </c>
      <c r="BG64" s="194"/>
      <c r="BH64" s="152">
        <f>+SUM(BH59:BH63)</f>
        <v>0</v>
      </c>
      <c r="BI64" s="152">
        <f t="shared" ref="BI64:BO64" si="127">+SUM(BI59:BI63)</f>
        <v>0</v>
      </c>
      <c r="BJ64" s="152">
        <f t="shared" si="127"/>
        <v>0</v>
      </c>
      <c r="BK64" s="152">
        <f t="shared" si="127"/>
        <v>0</v>
      </c>
      <c r="BL64" s="152">
        <f t="shared" si="127"/>
        <v>0</v>
      </c>
      <c r="BM64" s="152">
        <f t="shared" si="127"/>
        <v>0</v>
      </c>
      <c r="BN64" s="152">
        <f t="shared" si="127"/>
        <v>0</v>
      </c>
      <c r="BO64" s="152">
        <f t="shared" si="127"/>
        <v>0</v>
      </c>
      <c r="BP64" s="194">
        <f t="shared" ref="BP64:BQ64" si="128">+SUM(BP59:BP63)</f>
        <v>0</v>
      </c>
      <c r="BQ64" s="194">
        <f t="shared" si="128"/>
        <v>0</v>
      </c>
      <c r="BR64" s="182">
        <f t="shared" si="117"/>
        <v>0</v>
      </c>
      <c r="BT64" s="193" t="s">
        <v>101</v>
      </c>
      <c r="BU64" s="194"/>
      <c r="BV64" s="152">
        <f>+SUM(BV59:BV63)</f>
        <v>0</v>
      </c>
      <c r="BW64" s="152">
        <f t="shared" ref="BW64:CC64" si="129">+SUM(BW59:BW63)</f>
        <v>0</v>
      </c>
      <c r="BX64" s="152">
        <f t="shared" si="129"/>
        <v>0</v>
      </c>
      <c r="BY64" s="152">
        <f t="shared" si="129"/>
        <v>0</v>
      </c>
      <c r="BZ64" s="152">
        <f t="shared" si="129"/>
        <v>0</v>
      </c>
      <c r="CA64" s="152">
        <f t="shared" si="129"/>
        <v>0</v>
      </c>
      <c r="CB64" s="152">
        <f t="shared" si="129"/>
        <v>0</v>
      </c>
      <c r="CC64" s="152">
        <f t="shared" si="129"/>
        <v>0</v>
      </c>
      <c r="CD64" s="194">
        <f t="shared" ref="CD64:CE64" si="130">+SUM(CD59:CD63)</f>
        <v>0</v>
      </c>
      <c r="CE64" s="194">
        <f t="shared" si="130"/>
        <v>0</v>
      </c>
      <c r="CF64" s="182">
        <f t="shared" si="118"/>
        <v>0</v>
      </c>
    </row>
    <row r="65" spans="2:84" ht="15" thickBot="1" x14ac:dyDescent="0.25"/>
    <row r="66" spans="2:84" ht="18" x14ac:dyDescent="0.25">
      <c r="B66" s="186" t="s">
        <v>656</v>
      </c>
      <c r="C66" s="201"/>
      <c r="D66" s="201"/>
      <c r="E66" s="201"/>
      <c r="F66" s="201"/>
      <c r="G66" s="201"/>
      <c r="H66" s="201"/>
      <c r="I66" s="201"/>
      <c r="J66" s="201"/>
      <c r="K66" s="201"/>
      <c r="L66" s="201"/>
      <c r="M66" s="201"/>
      <c r="N66" s="184"/>
      <c r="P66" s="186" t="s">
        <v>656</v>
      </c>
      <c r="Q66" s="201"/>
      <c r="R66" s="201"/>
      <c r="S66" s="201"/>
      <c r="T66" s="201"/>
      <c r="U66" s="201"/>
      <c r="V66" s="201"/>
      <c r="W66" s="201"/>
      <c r="X66" s="201"/>
      <c r="Y66" s="201"/>
      <c r="Z66" s="201"/>
      <c r="AA66" s="201"/>
      <c r="AB66" s="184"/>
      <c r="AD66" s="186" t="s">
        <v>656</v>
      </c>
      <c r="AE66" s="201"/>
      <c r="AF66" s="201"/>
      <c r="AG66" s="201"/>
      <c r="AH66" s="201"/>
      <c r="AI66" s="201"/>
      <c r="AJ66" s="201"/>
      <c r="AK66" s="201"/>
      <c r="AL66" s="201"/>
      <c r="AM66" s="201"/>
      <c r="AN66" s="201"/>
      <c r="AO66" s="201"/>
      <c r="AP66" s="184"/>
      <c r="AR66" s="186" t="s">
        <v>656</v>
      </c>
      <c r="AS66" s="201"/>
      <c r="AT66" s="201"/>
      <c r="AU66" s="201"/>
      <c r="AV66" s="201"/>
      <c r="AW66" s="201"/>
      <c r="AX66" s="201"/>
      <c r="AY66" s="201"/>
      <c r="AZ66" s="201"/>
      <c r="BA66" s="201"/>
      <c r="BB66" s="201"/>
      <c r="BC66" s="201"/>
      <c r="BD66" s="184"/>
      <c r="BF66" s="186" t="s">
        <v>656</v>
      </c>
      <c r="BG66" s="201"/>
      <c r="BH66" s="201"/>
      <c r="BI66" s="201"/>
      <c r="BJ66" s="201"/>
      <c r="BK66" s="201"/>
      <c r="BL66" s="201"/>
      <c r="BM66" s="201"/>
      <c r="BN66" s="201"/>
      <c r="BO66" s="201"/>
      <c r="BP66" s="201"/>
      <c r="BQ66" s="201"/>
      <c r="BR66" s="184"/>
      <c r="BT66" s="186" t="s">
        <v>656</v>
      </c>
      <c r="BU66" s="201"/>
      <c r="BV66" s="201"/>
      <c r="BW66" s="201"/>
      <c r="BX66" s="201"/>
      <c r="BY66" s="201"/>
      <c r="BZ66" s="201"/>
      <c r="CA66" s="201"/>
      <c r="CB66" s="201"/>
      <c r="CC66" s="201"/>
      <c r="CD66" s="201"/>
      <c r="CE66" s="201"/>
      <c r="CF66" s="184"/>
    </row>
    <row r="67" spans="2:84" ht="18" x14ac:dyDescent="0.25">
      <c r="B67" s="202"/>
      <c r="C67" s="16"/>
      <c r="D67" s="16"/>
      <c r="E67" s="195"/>
      <c r="F67" s="195"/>
      <c r="G67" s="195"/>
      <c r="H67" s="195"/>
      <c r="I67" s="195"/>
      <c r="J67" s="195"/>
      <c r="K67" s="195"/>
      <c r="L67" s="195"/>
      <c r="M67" s="195"/>
      <c r="N67" s="178"/>
      <c r="P67" s="202"/>
      <c r="Q67" s="16"/>
      <c r="R67" s="16"/>
      <c r="S67" s="195"/>
      <c r="T67" s="195"/>
      <c r="U67" s="195"/>
      <c r="V67" s="195"/>
      <c r="W67" s="195"/>
      <c r="X67" s="195"/>
      <c r="Y67" s="195"/>
      <c r="Z67" s="195"/>
      <c r="AA67" s="195"/>
      <c r="AB67" s="178"/>
      <c r="AD67" s="202"/>
      <c r="AE67" s="16"/>
      <c r="AF67" s="16"/>
      <c r="AG67" s="195"/>
      <c r="AH67" s="195"/>
      <c r="AI67" s="195"/>
      <c r="AJ67" s="195"/>
      <c r="AK67" s="195"/>
      <c r="AL67" s="195"/>
      <c r="AM67" s="195"/>
      <c r="AN67" s="195"/>
      <c r="AO67" s="195"/>
      <c r="AP67" s="178"/>
      <c r="AR67" s="202"/>
      <c r="AS67" s="16"/>
      <c r="AT67" s="16"/>
      <c r="AU67" s="195"/>
      <c r="AV67" s="195"/>
      <c r="AW67" s="195"/>
      <c r="AX67" s="195"/>
      <c r="AY67" s="195"/>
      <c r="AZ67" s="195"/>
      <c r="BA67" s="195"/>
      <c r="BB67" s="195"/>
      <c r="BC67" s="195"/>
      <c r="BD67" s="178"/>
      <c r="BF67" s="202"/>
      <c r="BG67" s="16"/>
      <c r="BH67" s="16"/>
      <c r="BI67" s="195"/>
      <c r="BJ67" s="195"/>
      <c r="BK67" s="195"/>
      <c r="BL67" s="195"/>
      <c r="BM67" s="195"/>
      <c r="BN67" s="195"/>
      <c r="BO67" s="195"/>
      <c r="BP67" s="195"/>
      <c r="BQ67" s="195"/>
      <c r="BR67" s="178"/>
      <c r="BT67" s="202"/>
      <c r="BU67" s="16"/>
      <c r="BV67" s="16"/>
      <c r="BW67" s="195"/>
      <c r="BX67" s="195"/>
      <c r="BY67" s="195"/>
      <c r="BZ67" s="195"/>
      <c r="CA67" s="195"/>
      <c r="CB67" s="195"/>
      <c r="CC67" s="195"/>
      <c r="CD67" s="195"/>
      <c r="CE67" s="195"/>
      <c r="CF67" s="178"/>
    </row>
    <row r="68" spans="2:84" x14ac:dyDescent="0.2">
      <c r="B68" s="161" t="str">
        <f>+$D$5</f>
        <v>EUR</v>
      </c>
      <c r="C68" s="4"/>
      <c r="D68" s="8">
        <f>+D54</f>
        <v>2025</v>
      </c>
      <c r="E68" s="8">
        <f t="shared" ref="E68:M68" si="131">+E54</f>
        <v>2026</v>
      </c>
      <c r="F68" s="8">
        <f t="shared" si="131"/>
        <v>2027</v>
      </c>
      <c r="G68" s="8">
        <f t="shared" si="131"/>
        <v>2028</v>
      </c>
      <c r="H68" s="8">
        <f t="shared" si="131"/>
        <v>2029</v>
      </c>
      <c r="I68" s="8">
        <f t="shared" si="131"/>
        <v>2030</v>
      </c>
      <c r="J68" s="8">
        <f t="shared" si="131"/>
        <v>2031</v>
      </c>
      <c r="K68" s="8">
        <f t="shared" si="131"/>
        <v>2032</v>
      </c>
      <c r="L68" s="8">
        <f t="shared" si="131"/>
        <v>2033</v>
      </c>
      <c r="M68" s="8">
        <f t="shared" si="131"/>
        <v>2034</v>
      </c>
      <c r="N68" s="133" t="s">
        <v>34</v>
      </c>
      <c r="P68" s="161" t="str">
        <f>+$D$5</f>
        <v>EUR</v>
      </c>
      <c r="Q68" s="4"/>
      <c r="R68" s="8">
        <f>+R54</f>
        <v>2025</v>
      </c>
      <c r="S68" s="8">
        <f t="shared" ref="S68:AA68" si="132">+S54</f>
        <v>2026</v>
      </c>
      <c r="T68" s="8">
        <f t="shared" si="132"/>
        <v>2027</v>
      </c>
      <c r="U68" s="8">
        <f t="shared" si="132"/>
        <v>2028</v>
      </c>
      <c r="V68" s="8">
        <f t="shared" si="132"/>
        <v>2029</v>
      </c>
      <c r="W68" s="8">
        <f t="shared" si="132"/>
        <v>2030</v>
      </c>
      <c r="X68" s="8">
        <f t="shared" si="132"/>
        <v>2031</v>
      </c>
      <c r="Y68" s="8">
        <f t="shared" si="132"/>
        <v>2032</v>
      </c>
      <c r="Z68" s="8">
        <f t="shared" si="132"/>
        <v>2033</v>
      </c>
      <c r="AA68" s="8">
        <f t="shared" si="132"/>
        <v>2034</v>
      </c>
      <c r="AB68" s="133" t="s">
        <v>34</v>
      </c>
      <c r="AD68" s="161" t="str">
        <f>+$D$5</f>
        <v>EUR</v>
      </c>
      <c r="AE68" s="4"/>
      <c r="AF68" s="8">
        <f>+AF54</f>
        <v>2025</v>
      </c>
      <c r="AG68" s="8">
        <f t="shared" ref="AG68:AO68" si="133">+AG54</f>
        <v>2026</v>
      </c>
      <c r="AH68" s="8">
        <f t="shared" si="133"/>
        <v>2027</v>
      </c>
      <c r="AI68" s="8">
        <f t="shared" si="133"/>
        <v>2028</v>
      </c>
      <c r="AJ68" s="8">
        <f t="shared" si="133"/>
        <v>2029</v>
      </c>
      <c r="AK68" s="8">
        <f t="shared" si="133"/>
        <v>2030</v>
      </c>
      <c r="AL68" s="8">
        <f t="shared" si="133"/>
        <v>2031</v>
      </c>
      <c r="AM68" s="8">
        <f t="shared" si="133"/>
        <v>2032</v>
      </c>
      <c r="AN68" s="8">
        <f t="shared" si="133"/>
        <v>2033</v>
      </c>
      <c r="AO68" s="8">
        <f t="shared" si="133"/>
        <v>2034</v>
      </c>
      <c r="AP68" s="133" t="s">
        <v>34</v>
      </c>
      <c r="AR68" s="161" t="str">
        <f>+$D$5</f>
        <v>EUR</v>
      </c>
      <c r="AS68" s="4"/>
      <c r="AT68" s="8">
        <f>+AT54</f>
        <v>2025</v>
      </c>
      <c r="AU68" s="8">
        <f t="shared" ref="AU68:BC68" si="134">+AU54</f>
        <v>2026</v>
      </c>
      <c r="AV68" s="8">
        <f t="shared" si="134"/>
        <v>2027</v>
      </c>
      <c r="AW68" s="8">
        <f t="shared" si="134"/>
        <v>2028</v>
      </c>
      <c r="AX68" s="8">
        <f t="shared" si="134"/>
        <v>2029</v>
      </c>
      <c r="AY68" s="8">
        <f t="shared" si="134"/>
        <v>2030</v>
      </c>
      <c r="AZ68" s="8">
        <f t="shared" si="134"/>
        <v>2031</v>
      </c>
      <c r="BA68" s="8">
        <f t="shared" si="134"/>
        <v>2032</v>
      </c>
      <c r="BB68" s="8">
        <f t="shared" si="134"/>
        <v>2033</v>
      </c>
      <c r="BC68" s="8">
        <f t="shared" si="134"/>
        <v>2034</v>
      </c>
      <c r="BD68" s="133" t="s">
        <v>34</v>
      </c>
      <c r="BF68" s="161" t="str">
        <f>+$D$5</f>
        <v>EUR</v>
      </c>
      <c r="BG68" s="4"/>
      <c r="BH68" s="8">
        <f>+BH54</f>
        <v>2025</v>
      </c>
      <c r="BI68" s="8">
        <f t="shared" ref="BI68:BQ68" si="135">+BI54</f>
        <v>2026</v>
      </c>
      <c r="BJ68" s="8">
        <f t="shared" si="135"/>
        <v>2027</v>
      </c>
      <c r="BK68" s="8">
        <f t="shared" si="135"/>
        <v>2028</v>
      </c>
      <c r="BL68" s="8">
        <f t="shared" si="135"/>
        <v>2029</v>
      </c>
      <c r="BM68" s="8">
        <f t="shared" si="135"/>
        <v>2030</v>
      </c>
      <c r="BN68" s="8">
        <f t="shared" si="135"/>
        <v>2031</v>
      </c>
      <c r="BO68" s="8">
        <f t="shared" si="135"/>
        <v>2032</v>
      </c>
      <c r="BP68" s="8">
        <f t="shared" si="135"/>
        <v>2033</v>
      </c>
      <c r="BQ68" s="8">
        <f t="shared" si="135"/>
        <v>2034</v>
      </c>
      <c r="BR68" s="133" t="s">
        <v>34</v>
      </c>
      <c r="BT68" s="161" t="str">
        <f>+$D$5</f>
        <v>EUR</v>
      </c>
      <c r="BU68" s="4"/>
      <c r="BV68" s="8">
        <f>+BV54</f>
        <v>2025</v>
      </c>
      <c r="BW68" s="8">
        <f t="shared" ref="BW68:CE68" si="136">+BW54</f>
        <v>2026</v>
      </c>
      <c r="BX68" s="8">
        <f t="shared" si="136"/>
        <v>2027</v>
      </c>
      <c r="BY68" s="8">
        <f t="shared" si="136"/>
        <v>2028</v>
      </c>
      <c r="BZ68" s="8">
        <f t="shared" si="136"/>
        <v>2029</v>
      </c>
      <c r="CA68" s="8">
        <f t="shared" si="136"/>
        <v>2030</v>
      </c>
      <c r="CB68" s="8">
        <f t="shared" si="136"/>
        <v>2031</v>
      </c>
      <c r="CC68" s="8">
        <f t="shared" si="136"/>
        <v>2032</v>
      </c>
      <c r="CD68" s="8">
        <f t="shared" si="136"/>
        <v>2033</v>
      </c>
      <c r="CE68" s="8">
        <f t="shared" si="136"/>
        <v>2034</v>
      </c>
      <c r="CF68" s="133" t="s">
        <v>34</v>
      </c>
    </row>
    <row r="69" spans="2:84" x14ac:dyDescent="0.2">
      <c r="B69" s="189" t="s">
        <v>74</v>
      </c>
      <c r="C69" s="120"/>
      <c r="D69" s="28">
        <f>IFERROR((Total!D62/(VLOOKUP(D5,Currency!$A$2:$D$33,3,FALSE))*100),0)</f>
        <v>0</v>
      </c>
      <c r="E69" s="120">
        <f>IFERROR((Total!E62/(VLOOKUP(D5,Currency!$A$2:$D$33,3,FALSE))*100),0)</f>
        <v>0</v>
      </c>
      <c r="F69" s="28">
        <f>IFERROR((Total!F62/(VLOOKUP(D5,Currency!$A$2:$D$33,3,FALSE))*100),0)</f>
        <v>0</v>
      </c>
      <c r="G69" s="120">
        <f>IFERROR((Total!G62/(VLOOKUP(D5,Currency!$A$2:$D$33,3,FALSE))*100),0)</f>
        <v>0</v>
      </c>
      <c r="H69" s="28">
        <f>IFERROR((Total!H62/(VLOOKUP(D5,Currency!$A$2:$D$33,3,FALSE))*100),0)</f>
        <v>0</v>
      </c>
      <c r="I69" s="120">
        <f>IFERROR((Total!I62/(VLOOKUP(D5,Currency!$A$2:$D$33,3,FALSE))*100),0)</f>
        <v>0</v>
      </c>
      <c r="J69" s="28">
        <f>IFERROR((Total!J62/(VLOOKUP(D5,Currency!$A$2:$D$33,3,FALSE))*100),0)</f>
        <v>0</v>
      </c>
      <c r="K69" s="28">
        <f>IFERROR((Total!K62/(VLOOKUP(D5,Currency!$A$2:$D$33,3,FALSE))*100),0)</f>
        <v>0</v>
      </c>
      <c r="L69" s="120">
        <f>IFERROR((Total!L62/(VLOOKUP(D5,Currency!$A$2:$D$33,3,FALSE))*100),0)</f>
        <v>0</v>
      </c>
      <c r="M69" s="120">
        <f>IFERROR((Total!M62/(VLOOKUP(D5,Currency!$A$2:$D$33,3,FALSE))*100),0)</f>
        <v>0</v>
      </c>
      <c r="N69" s="179">
        <f>SUM(D69:K69)</f>
        <v>0</v>
      </c>
      <c r="P69" s="189" t="s">
        <v>74</v>
      </c>
      <c r="Q69" s="120"/>
      <c r="R69" s="28">
        <f>IFERROR(('B1'!S112/(VLOOKUP(D5,Currency!$A$2:$D$33,3,FALSE))*100),0)</f>
        <v>0</v>
      </c>
      <c r="S69" s="120">
        <f>IFERROR(('B1'!T112/(VLOOKUP(D5,Currency!$A$2:$D$33,3,FALSE))*100),0)</f>
        <v>0</v>
      </c>
      <c r="T69" s="28">
        <f>IFERROR(('B1'!U112/(VLOOKUP(D5,Currency!$A$2:$D$33,3,FALSE))*100),0)</f>
        <v>0</v>
      </c>
      <c r="U69" s="120">
        <f>IFERROR(('B1'!V112/(VLOOKUP(D5,Currency!$A$2:$D$33,3,FALSE))*100),0)</f>
        <v>0</v>
      </c>
      <c r="V69" s="28">
        <f>IFERROR(('B1'!W112/(VLOOKUP(D5,Currency!$A$2:$D$33,3,FALSE))*100),0)</f>
        <v>0</v>
      </c>
      <c r="W69" s="120">
        <f>IFERROR(('B1'!X112/(VLOOKUP(D5,Currency!$A$2:$D$33,3,FALSE))*100),0)</f>
        <v>0</v>
      </c>
      <c r="X69" s="28">
        <f>IFERROR(('B1'!Y112/(VLOOKUP(D5,Currency!$A$2:$D$33,3,FALSE))*100),0)</f>
        <v>0</v>
      </c>
      <c r="Y69" s="28">
        <f>IFERROR(('B1'!Z112/(VLOOKUP(D5,Currency!$A$2:$D$33,3,FALSE))*100),0)</f>
        <v>0</v>
      </c>
      <c r="Z69" s="120">
        <f>IFERROR(('B1'!AA112/(VLOOKUP(D5,Currency!$A$2:$D$33,3,FALSE))*100),0)</f>
        <v>0</v>
      </c>
      <c r="AA69" s="120">
        <f>IFERROR(('B1'!AB112/(VLOOKUP(D5,Currency!$A$2:$D$33,3,FALSE))*100),0)</f>
        <v>0</v>
      </c>
      <c r="AB69" s="179">
        <f>SUM(R69:Y69)</f>
        <v>0</v>
      </c>
      <c r="AD69" s="189" t="s">
        <v>74</v>
      </c>
      <c r="AE69" s="120"/>
      <c r="AF69" s="28">
        <f>IFERROR(('B2'!S112/(VLOOKUP(D5,Currency!$A$2:$D$33,3,FALSE))*100),0)</f>
        <v>0</v>
      </c>
      <c r="AG69" s="120">
        <f>IFERROR(('B2'!T112/(VLOOKUP(D5,Currency!$A$2:$D$33,3,FALSE))*100),0)</f>
        <v>0</v>
      </c>
      <c r="AH69" s="28">
        <f>IFERROR(('B2'!U112/(VLOOKUP(D5,Currency!$A$2:$D$33,3,FALSE))*100),0)</f>
        <v>0</v>
      </c>
      <c r="AI69" s="120">
        <f>IFERROR(('B2'!V112/(VLOOKUP(D5,Currency!$A$2:$D$33,3,FALSE))*100),0)</f>
        <v>0</v>
      </c>
      <c r="AJ69" s="28">
        <f>IFERROR(('B2'!W112/(VLOOKUP(D5,Currency!$A$2:$D$33,3,FALSE))*100),0)</f>
        <v>0</v>
      </c>
      <c r="AK69" s="120">
        <f>IFERROR(('B2'!X112/(VLOOKUP(D5,Currency!$A$2:$D$33,3,FALSE))*100),0)</f>
        <v>0</v>
      </c>
      <c r="AL69" s="28">
        <f>IFERROR(('B2'!Y112/(VLOOKUP(D5,Currency!$A$2:$D$33,3,FALSE))*100),0)</f>
        <v>0</v>
      </c>
      <c r="AM69" s="28">
        <f>IFERROR(('B2'!Z112/(VLOOKUP(D5,Currency!$A$2:$D$33,3,FALSE))*100),0)</f>
        <v>0</v>
      </c>
      <c r="AN69" s="120">
        <f>IFERROR(('B2'!AA112/(VLOOKUP(D5,Currency!$A$2:$D$33,3,FALSE))*100),0)</f>
        <v>0</v>
      </c>
      <c r="AO69" s="120">
        <f>IFERROR(('B2'!AB112/(VLOOKUP(D5,Currency!$A$2:$D$33,3,FALSE))*100),0)</f>
        <v>0</v>
      </c>
      <c r="AP69" s="179">
        <f>SUM(AF69:AM69)</f>
        <v>0</v>
      </c>
      <c r="AR69" s="189" t="s">
        <v>74</v>
      </c>
      <c r="AS69" s="120"/>
      <c r="AT69" s="28">
        <f>IFERROR(('B3'!S112/(VLOOKUP(D5,Currency!$A$2:$D$33,3,FALSE))*100),0)</f>
        <v>0</v>
      </c>
      <c r="AU69" s="120">
        <f>IFERROR(('B3'!T112/(VLOOKUP(D5,Currency!$A$2:$D$33,3,FALSE))*100),0)</f>
        <v>0</v>
      </c>
      <c r="AV69" s="28">
        <f>IFERROR(('B3'!U112/(VLOOKUP(D5,Currency!$A$2:$D$33,3,FALSE))*100),0)</f>
        <v>0</v>
      </c>
      <c r="AW69" s="120">
        <f>IFERROR(('B3'!V112/(VLOOKUP(D5,Currency!$A$2:$D$33,3,FALSE))*100),0)</f>
        <v>0</v>
      </c>
      <c r="AX69" s="28">
        <f>IFERROR(('B3'!W112/(VLOOKUP(D5,Currency!$A$2:$D$33,3,FALSE))*100),0)</f>
        <v>0</v>
      </c>
      <c r="AY69" s="120">
        <f>IFERROR(('B3'!X112/(VLOOKUP(D5,Currency!$A$2:$D$33,3,FALSE))*100),0)</f>
        <v>0</v>
      </c>
      <c r="AZ69" s="28">
        <f>IFERROR(('B3'!Y112/(VLOOKUP(D5,Currency!$A$2:$D$33,3,FALSE))*100),0)</f>
        <v>0</v>
      </c>
      <c r="BA69" s="28">
        <f>IFERROR(('B3'!Z112/(VLOOKUP(D5,Currency!$A$2:$D$33,3,FALSE))*100),0)</f>
        <v>0</v>
      </c>
      <c r="BB69" s="120">
        <f>IFERROR(('B3'!AA112/(VLOOKUP(D5,Currency!$A$2:$D$33,3,FALSE))*100),0)</f>
        <v>0</v>
      </c>
      <c r="BC69" s="120">
        <f>IFERROR(('B3'!AB112/(VLOOKUP(D5,Currency!$A$2:$D$33,3,FALSE))*100),0)</f>
        <v>0</v>
      </c>
      <c r="BD69" s="179">
        <f>SUM(AT69:BA69)</f>
        <v>0</v>
      </c>
      <c r="BF69" s="189" t="s">
        <v>74</v>
      </c>
      <c r="BG69" s="120"/>
      <c r="BH69" s="28">
        <f>IFERROR(('B4'!S112/(VLOOKUP(D5,Currency!$A$2:$D$33,3,FALSE))*100),0)</f>
        <v>0</v>
      </c>
      <c r="BI69" s="120">
        <f>IFERROR(('B4'!T112/(VLOOKUP(D5,Currency!$A$2:$D$33,3,FALSE))*100),0)</f>
        <v>0</v>
      </c>
      <c r="BJ69" s="28">
        <f>IFERROR(('B4'!U112/(VLOOKUP(D5,Currency!$A$2:$D$33,3,FALSE))*100),0)</f>
        <v>0</v>
      </c>
      <c r="BK69" s="120">
        <f>IFERROR(('B4'!V112/(VLOOKUP(D5,Currency!$A$2:$D$33,3,FALSE))*100),0)</f>
        <v>0</v>
      </c>
      <c r="BL69" s="28">
        <f>IFERROR(('B4'!W112/(VLOOKUP(D5,Currency!$A$2:$D$33,3,FALSE))*100),0)</f>
        <v>0</v>
      </c>
      <c r="BM69" s="120">
        <f>IFERROR(('B4'!X112/(VLOOKUP(D5,Currency!$A$2:$D$33,3,FALSE))*100),0)</f>
        <v>0</v>
      </c>
      <c r="BN69" s="28">
        <f>IFERROR(('B4'!Y112/(VLOOKUP(D5,Currency!$A$2:$D$33,3,FALSE))*100),0)</f>
        <v>0</v>
      </c>
      <c r="BO69" s="28">
        <f>IFERROR(('B4'!Z112/(VLOOKUP(D5,Currency!$A$2:$D$33,3,FALSE))*100),0)</f>
        <v>0</v>
      </c>
      <c r="BP69" s="120">
        <f>IFERROR(('B4'!AA112/(VLOOKUP(D5,Currency!$A$2:$D$33,3,FALSE))*100),0)</f>
        <v>0</v>
      </c>
      <c r="BQ69" s="120">
        <f>IFERROR(('B4'!AB112/(VLOOKUP(D5,Currency!$A$2:$D$33,3,FALSE))*100),0)</f>
        <v>0</v>
      </c>
      <c r="BR69" s="179">
        <f>SUM(BH69:BO69)</f>
        <v>0</v>
      </c>
      <c r="BT69" s="189" t="s">
        <v>74</v>
      </c>
      <c r="BU69" s="120"/>
      <c r="BV69" s="28">
        <f>IFERROR(('B5'!S112/(VLOOKUP(D5,Currency!$A$2:$D$33,3,FALSE))*100),0)</f>
        <v>0</v>
      </c>
      <c r="BW69" s="120">
        <f>IFERROR(('B5'!T112/(VLOOKUP(D5,Currency!$A$2:$D$33,3,FALSE))*100),0)</f>
        <v>0</v>
      </c>
      <c r="BX69" s="28">
        <f>IFERROR(('B5'!U112/(VLOOKUP(D5,Currency!$A$2:$D$33,3,FALSE))*100),0)</f>
        <v>0</v>
      </c>
      <c r="BY69" s="120">
        <f>IFERROR(('B5'!V112/(VLOOKUP(D5,Currency!$A$2:$D$33,3,FALSE))*100),0)</f>
        <v>0</v>
      </c>
      <c r="BZ69" s="28">
        <f>IFERROR(('B5'!W112/(VLOOKUP(D5,Currency!$A$2:$D$33,3,FALSE))*100),0)</f>
        <v>0</v>
      </c>
      <c r="CA69" s="120">
        <f>IFERROR(('B5'!X112/(VLOOKUP(D5,Currency!$A$2:$D$33,3,FALSE))*100),0)</f>
        <v>0</v>
      </c>
      <c r="CB69" s="28">
        <f>IFERROR(('B5'!Y112/(VLOOKUP(D5,Currency!$A$2:$D$33,3,FALSE))*100),0)</f>
        <v>0</v>
      </c>
      <c r="CC69" s="28">
        <f>IFERROR(('B5'!Z112/(VLOOKUP(D5,Currency!$A$2:$D$33,3,FALSE))*100),0)</f>
        <v>0</v>
      </c>
      <c r="CD69" s="120">
        <f>IFERROR(('B5'!AA112/(VLOOKUP(D5,Currency!$A$2:$D$33,3,FALSE))*100),0)</f>
        <v>0</v>
      </c>
      <c r="CE69" s="120">
        <f>IFERROR(('B5'!AB112/(VLOOKUP(D5,Currency!$A$2:$D$33,3,FALSE))*100),0)</f>
        <v>0</v>
      </c>
      <c r="CF69" s="179">
        <f>SUM(BV69:CC69)</f>
        <v>0</v>
      </c>
    </row>
    <row r="70" spans="2:84" x14ac:dyDescent="0.2">
      <c r="B70" s="161" t="s">
        <v>75</v>
      </c>
      <c r="C70" s="121"/>
      <c r="D70" s="122">
        <f>IFERROR((Total!D63/(VLOOKUP(D5,Currency!$A$2:$D$33,3,FALSE))*100),0)</f>
        <v>0</v>
      </c>
      <c r="E70" s="121">
        <f>IFERROR((Total!E63/(VLOOKUP(D5,Currency!$A$2:$D$33,3,FALSE))*100),0)</f>
        <v>0</v>
      </c>
      <c r="F70" s="122">
        <f>IFERROR((Total!F63/(VLOOKUP(D5,Currency!$A$2:$D$33,3,FALSE))*100),0)</f>
        <v>0</v>
      </c>
      <c r="G70" s="121">
        <f>IFERROR((Total!G63/(VLOOKUP(D5,Currency!$A$2:$D$33,3,FALSE))*100),0)</f>
        <v>0</v>
      </c>
      <c r="H70" s="122">
        <f>IFERROR((Total!H63/(VLOOKUP(D5,Currency!$A$2:$D$33,3,FALSE))*100),0)</f>
        <v>0</v>
      </c>
      <c r="I70" s="121">
        <f>IFERROR((Total!I63/(VLOOKUP(D5,Currency!$A$2:$D$33,3,FALSE))*100),0)</f>
        <v>0</v>
      </c>
      <c r="J70" s="122">
        <f>IFERROR((Total!J63/(VLOOKUP(D5,Currency!$A$2:$D$33,3,FALSE))*100),0)</f>
        <v>0</v>
      </c>
      <c r="K70" s="122">
        <f>IFERROR((Total!K63/(VLOOKUP(D5,Currency!$A$2:$D$33,3,FALSE))*100),0)</f>
        <v>0</v>
      </c>
      <c r="L70" s="121">
        <f>IFERROR((Total!L63/(VLOOKUP(D5,Currency!$A$2:$D$33,3,FALSE))*100),0)</f>
        <v>0</v>
      </c>
      <c r="M70" s="121">
        <f>IFERROR((Total!M63/(VLOOKUP(D5,Currency!$A$2:$D$33,3,FALSE))*100),0)</f>
        <v>0</v>
      </c>
      <c r="N70" s="180">
        <f t="shared" ref="N70:N78" si="137">SUM(D70:K70)</f>
        <v>0</v>
      </c>
      <c r="P70" s="161" t="s">
        <v>75</v>
      </c>
      <c r="Q70" s="121"/>
      <c r="R70" s="122">
        <f>IFERROR(('B1'!S113/(VLOOKUP(D5,Currency!$A$2:$D$33,3,FALSE))*100),0)</f>
        <v>0</v>
      </c>
      <c r="S70" s="121">
        <f>IFERROR(('B1'!T113/(VLOOKUP(D5,Currency!$A$2:$D$33,3,FALSE))*100),0)</f>
        <v>0</v>
      </c>
      <c r="T70" s="122">
        <f>IFERROR(('B1'!U113/(VLOOKUP(D5,Currency!$A$2:$D$33,3,FALSE))*100),0)</f>
        <v>0</v>
      </c>
      <c r="U70" s="121">
        <f>IFERROR(('B1'!V113/(VLOOKUP(D5,Currency!$A$2:$D$33,3,FALSE))*100),0)</f>
        <v>0</v>
      </c>
      <c r="V70" s="122">
        <f>IFERROR(('B1'!W113/(VLOOKUP(D5,Currency!$A$2:$D$33,3,FALSE))*100),0)</f>
        <v>0</v>
      </c>
      <c r="W70" s="121">
        <f>IFERROR(('B1'!X113/(VLOOKUP(D5,Currency!$A$2:$D$33,3,FALSE))*100),0)</f>
        <v>0</v>
      </c>
      <c r="X70" s="122">
        <f>IFERROR(('B1'!Y113/(VLOOKUP(D5,Currency!$A$2:$D$33,3,FALSE))*100),0)</f>
        <v>0</v>
      </c>
      <c r="Y70" s="122">
        <f>IFERROR(('B1'!Z113/(VLOOKUP(D5,Currency!$A$2:$D$33,3,FALSE))*100),0)</f>
        <v>0</v>
      </c>
      <c r="Z70" s="121">
        <f>IFERROR(('B1'!AA113/(VLOOKUP(D5,Currency!$A$2:$D$33,3,FALSE))*100),0)</f>
        <v>0</v>
      </c>
      <c r="AA70" s="121">
        <f>IFERROR(('B1'!AB113/(VLOOKUP(D5,Currency!$A$2:$D$33,3,FALSE))*100),0)</f>
        <v>0</v>
      </c>
      <c r="AB70" s="180">
        <f t="shared" ref="AB70:AB78" si="138">SUM(R70:Y70)</f>
        <v>0</v>
      </c>
      <c r="AD70" s="161" t="s">
        <v>75</v>
      </c>
      <c r="AE70" s="121"/>
      <c r="AF70" s="122">
        <f>IFERROR(('B2'!S113/(VLOOKUP(D5,Currency!$A$2:$D$33,3,FALSE))*100),0)</f>
        <v>0</v>
      </c>
      <c r="AG70" s="121">
        <f>IFERROR(('B2'!T113/(VLOOKUP(D5,Currency!$A$2:$D$33,3,FALSE))*100),0)</f>
        <v>0</v>
      </c>
      <c r="AH70" s="122">
        <f>IFERROR(('B2'!U113/(VLOOKUP(D5,Currency!$A$2:$D$33,3,FALSE))*100),0)</f>
        <v>0</v>
      </c>
      <c r="AI70" s="121">
        <f>IFERROR(('B2'!V113/(VLOOKUP(D5,Currency!$A$2:$D$33,3,FALSE))*100),0)</f>
        <v>0</v>
      </c>
      <c r="AJ70" s="122">
        <f>IFERROR(('B2'!W113/(VLOOKUP(D5,Currency!$A$2:$D$33,3,FALSE))*100),0)</f>
        <v>0</v>
      </c>
      <c r="AK70" s="121">
        <f>IFERROR(('B2'!X113/(VLOOKUP(D5,Currency!$A$2:$D$33,3,FALSE))*100),0)</f>
        <v>0</v>
      </c>
      <c r="AL70" s="122">
        <f>IFERROR(('B2'!Y113/(VLOOKUP(D5,Currency!$A$2:$D$33,3,FALSE))*100),0)</f>
        <v>0</v>
      </c>
      <c r="AM70" s="122">
        <f>IFERROR(('B2'!Z113/(VLOOKUP(D5,Currency!$A$2:$D$33,3,FALSE))*100),0)</f>
        <v>0</v>
      </c>
      <c r="AN70" s="121">
        <f>IFERROR(('B2'!AA113/(VLOOKUP(D5,Currency!$A$2:$D$33,3,FALSE))*100),0)</f>
        <v>0</v>
      </c>
      <c r="AO70" s="121">
        <f>IFERROR(('B2'!AB113/(VLOOKUP(D5,Currency!$A$2:$D$33,3,FALSE))*100),0)</f>
        <v>0</v>
      </c>
      <c r="AP70" s="180">
        <f t="shared" ref="AP70:AP78" si="139">SUM(AF70:AM70)</f>
        <v>0</v>
      </c>
      <c r="AR70" s="161" t="s">
        <v>75</v>
      </c>
      <c r="AS70" s="121"/>
      <c r="AT70" s="122">
        <f>IFERROR(('B3'!S113/(VLOOKUP(D5,Currency!$A$2:$D$33,3,FALSE))*100),0)</f>
        <v>0</v>
      </c>
      <c r="AU70" s="121">
        <f>IFERROR(('B3'!T113/(VLOOKUP(D5,Currency!$A$2:$D$33,3,FALSE))*100),0)</f>
        <v>0</v>
      </c>
      <c r="AV70" s="122">
        <f>IFERROR(('B3'!U113/(VLOOKUP(D5,Currency!$A$2:$D$33,3,FALSE))*100),0)</f>
        <v>0</v>
      </c>
      <c r="AW70" s="121">
        <f>IFERROR(('B3'!V113/(VLOOKUP(D5,Currency!$A$2:$D$33,3,FALSE))*100),0)</f>
        <v>0</v>
      </c>
      <c r="AX70" s="122">
        <f>IFERROR(('B3'!W113/(VLOOKUP(D5,Currency!$A$2:$D$33,3,FALSE))*100),0)</f>
        <v>0</v>
      </c>
      <c r="AY70" s="121">
        <f>IFERROR(('B3'!X113/(VLOOKUP(D5,Currency!$A$2:$D$33,3,FALSE))*100),0)</f>
        <v>0</v>
      </c>
      <c r="AZ70" s="122">
        <f>IFERROR(('B3'!Y113/(VLOOKUP(D5,Currency!$A$2:$D$33,3,FALSE))*100),0)</f>
        <v>0</v>
      </c>
      <c r="BA70" s="122">
        <f>IFERROR(('B3'!Z113/(VLOOKUP(D5,Currency!$A$2:$D$33,3,FALSE))*100),0)</f>
        <v>0</v>
      </c>
      <c r="BB70" s="121">
        <f>IFERROR(('B3'!AA113/(VLOOKUP(D5,Currency!$A$2:$D$33,3,FALSE))*100),0)</f>
        <v>0</v>
      </c>
      <c r="BC70" s="121">
        <f>IFERROR(('B3'!AB113/(VLOOKUP(D5,Currency!$A$2:$D$33,3,FALSE))*100),0)</f>
        <v>0</v>
      </c>
      <c r="BD70" s="180">
        <f t="shared" ref="BD70:BD78" si="140">SUM(AT70:BA70)</f>
        <v>0</v>
      </c>
      <c r="BF70" s="161" t="s">
        <v>75</v>
      </c>
      <c r="BG70" s="121"/>
      <c r="BH70" s="122">
        <f>IFERROR(('B4'!S113/(VLOOKUP(D5,Currency!$A$2:$D$33,3,FALSE))*100),0)</f>
        <v>0</v>
      </c>
      <c r="BI70" s="121">
        <f>IFERROR(('B4'!T113/(VLOOKUP(D5,Currency!$A$2:$D$33,3,FALSE))*100),0)</f>
        <v>0</v>
      </c>
      <c r="BJ70" s="122">
        <f>IFERROR(('B4'!U113/(VLOOKUP(D5,Currency!$A$2:$D$33,3,FALSE))*100),0)</f>
        <v>0</v>
      </c>
      <c r="BK70" s="121">
        <f>IFERROR(('B4'!V113/(VLOOKUP(D5,Currency!$A$2:$D$33,3,FALSE))*100),0)</f>
        <v>0</v>
      </c>
      <c r="BL70" s="122">
        <f>IFERROR(('B4'!W113/(VLOOKUP(D5,Currency!$A$2:$D$33,3,FALSE))*100),0)</f>
        <v>0</v>
      </c>
      <c r="BM70" s="121">
        <f>IFERROR(('B4'!X113/(VLOOKUP(D5,Currency!$A$2:$D$33,3,FALSE))*100),0)</f>
        <v>0</v>
      </c>
      <c r="BN70" s="122">
        <f>IFERROR(('B4'!Y113/(VLOOKUP(D5,Currency!$A$2:$D$33,3,FALSE))*100),0)</f>
        <v>0</v>
      </c>
      <c r="BO70" s="122">
        <f>IFERROR(('B4'!Z113/(VLOOKUP(D5,Currency!$A$2:$D$33,3,FALSE))*100),0)</f>
        <v>0</v>
      </c>
      <c r="BP70" s="121">
        <f>IFERROR(('B4'!AA113/(VLOOKUP(D5,Currency!$A$2:$D$33,3,FALSE))*100),0)</f>
        <v>0</v>
      </c>
      <c r="BQ70" s="121">
        <f>IFERROR(('B4'!AB113/(VLOOKUP(D5,Currency!$A$2:$D$33,3,FALSE))*100),0)</f>
        <v>0</v>
      </c>
      <c r="BR70" s="180">
        <f t="shared" ref="BR70:BR78" si="141">SUM(BH70:BO70)</f>
        <v>0</v>
      </c>
      <c r="BT70" s="161" t="s">
        <v>75</v>
      </c>
      <c r="BU70" s="121"/>
      <c r="BV70" s="122">
        <f>IFERROR(('B5'!S113/(VLOOKUP(D5,Currency!$A$2:$D$33,3,FALSE))*100),0)</f>
        <v>0</v>
      </c>
      <c r="BW70" s="121">
        <f>IFERROR(('B5'!T113/(VLOOKUP(D5,Currency!$A$2:$D$33,3,FALSE))*100),0)</f>
        <v>0</v>
      </c>
      <c r="BX70" s="122">
        <f>IFERROR(('B5'!U113/(VLOOKUP(D5,Currency!$A$2:$D$33,3,FALSE))*100),0)</f>
        <v>0</v>
      </c>
      <c r="BY70" s="121">
        <f>IFERROR(('B5'!V113/(VLOOKUP(D5,Currency!$A$2:$D$33,3,FALSE))*100),0)</f>
        <v>0</v>
      </c>
      <c r="BZ70" s="122">
        <f>IFERROR(('B5'!W113/(VLOOKUP(D5,Currency!$A$2:$D$33,3,FALSE))*100),0)</f>
        <v>0</v>
      </c>
      <c r="CA70" s="121">
        <f>IFERROR(('B5'!X113/(VLOOKUP(D5,Currency!$A$2:$D$33,3,FALSE))*100),0)</f>
        <v>0</v>
      </c>
      <c r="CB70" s="122">
        <f>IFERROR(('B5'!Y113/(VLOOKUP(D5,Currency!$A$2:$D$33,3,FALSE))*100),0)</f>
        <v>0</v>
      </c>
      <c r="CC70" s="122">
        <f>IFERROR(('B5'!Z113/(VLOOKUP(D5,Currency!$A$2:$D$33,3,FALSE))*100),0)</f>
        <v>0</v>
      </c>
      <c r="CD70" s="121">
        <f>IFERROR(('B5'!AA113/(VLOOKUP(D5,Currency!$A$2:$D$33,3,FALSE))*100),0)</f>
        <v>0</v>
      </c>
      <c r="CE70" s="121">
        <f>IFERROR(('B5'!AB113/(VLOOKUP(D5,Currency!$A$2:$D$33,3,FALSE))*100),0)</f>
        <v>0</v>
      </c>
      <c r="CF70" s="180">
        <f t="shared" ref="CF70:CF78" si="142">SUM(BV70:CC70)</f>
        <v>0</v>
      </c>
    </row>
    <row r="71" spans="2:84" x14ac:dyDescent="0.2">
      <c r="B71" s="190" t="s">
        <v>76</v>
      </c>
      <c r="C71" s="151"/>
      <c r="D71" s="146">
        <f>IFERROR((Total!D64/(VLOOKUP(D5,Currency!$A$2:$D$33,3,FALSE))*100),0)</f>
        <v>0</v>
      </c>
      <c r="E71" s="146">
        <f>IFERROR((Total!E64/(VLOOKUP(D5,Currency!$A$2:$D$33,3,FALSE))*100),0)</f>
        <v>0</v>
      </c>
      <c r="F71" s="146">
        <f>IFERROR((Total!F64/(VLOOKUP(D5,Currency!$A$2:$D$33,3,FALSE))*100),0)</f>
        <v>0</v>
      </c>
      <c r="G71" s="146">
        <f>IFERROR((Total!G64/(VLOOKUP(D5,Currency!$A$2:$D$33,3,FALSE))*100),0)</f>
        <v>0</v>
      </c>
      <c r="H71" s="146">
        <f>IFERROR((Total!H64/(VLOOKUP(D5,Currency!$A$2:$D$33,3,FALSE))*100),0)</f>
        <v>0</v>
      </c>
      <c r="I71" s="146">
        <f>IFERROR((Total!I64/(VLOOKUP(D5,Currency!$A$2:$D$33,3,FALSE))*100),0)</f>
        <v>0</v>
      </c>
      <c r="J71" s="151">
        <f>IFERROR((Total!J64/(VLOOKUP(D5,Currency!$A$2:$D$33,3,FALSE))*100),0)</f>
        <v>0</v>
      </c>
      <c r="K71" s="146">
        <f>IFERROR((Total!K64/(VLOOKUP(D5,Currency!$A$2:$D$33,3,FALSE))*100),0)</f>
        <v>0</v>
      </c>
      <c r="L71" s="151">
        <f>IFERROR((Total!L64/(VLOOKUP(D5,Currency!$A$2:$D$33,3,FALSE))*100),0)</f>
        <v>0</v>
      </c>
      <c r="M71" s="151">
        <f>IFERROR((Total!M64/(VLOOKUP(D5,Currency!$A$2:$D$33,3,FALSE))*100),0)</f>
        <v>0</v>
      </c>
      <c r="N71" s="181">
        <f t="shared" si="137"/>
        <v>0</v>
      </c>
      <c r="P71" s="190" t="s">
        <v>76</v>
      </c>
      <c r="Q71" s="151"/>
      <c r="R71" s="146">
        <f>IFERROR(('B1'!S114/(VLOOKUP(D5,Currency!$A$2:$D$33,3,FALSE))*100),0)</f>
        <v>0</v>
      </c>
      <c r="S71" s="146">
        <f>IFERROR(('B1'!T114/(VLOOKUP(D5,Currency!$A$2:$D$33,3,FALSE))*100),0)</f>
        <v>0</v>
      </c>
      <c r="T71" s="146">
        <f>IFERROR(('B1'!U114/(VLOOKUP(D5,Currency!$A$2:$D$33,3,FALSE))*100),0)</f>
        <v>0</v>
      </c>
      <c r="U71" s="146">
        <f>IFERROR(('B1'!V114/(VLOOKUP(D5,Currency!$A$2:$D$33,3,FALSE))*100),0)</f>
        <v>0</v>
      </c>
      <c r="V71" s="146">
        <f>IFERROR(('B1'!W114/(VLOOKUP(D5,Currency!$A$2:$D$33,3,FALSE))*100),0)</f>
        <v>0</v>
      </c>
      <c r="W71" s="146">
        <f>IFERROR(('B1'!X114/(VLOOKUP(D5,Currency!$A$2:$D$33,3,FALSE))*100),0)</f>
        <v>0</v>
      </c>
      <c r="X71" s="151">
        <f>IFERROR(('B1'!Y114/(VLOOKUP(D5,Currency!$A$2:$D$33,3,FALSE))*100),0)</f>
        <v>0</v>
      </c>
      <c r="Y71" s="146">
        <f>IFERROR(('B1'!Z114/(VLOOKUP(D5,Currency!$A$2:$D$33,3,FALSE))*100),0)</f>
        <v>0</v>
      </c>
      <c r="Z71" s="151">
        <f>IFERROR(('B1'!AA114/(VLOOKUP(D5,Currency!$A$2:$D$33,3,FALSE))*100),0)</f>
        <v>0</v>
      </c>
      <c r="AA71" s="151">
        <f>IFERROR(('B1'!AB114/(VLOOKUP(D5,Currency!$A$2:$D$33,3,FALSE))*100),0)</f>
        <v>0</v>
      </c>
      <c r="AB71" s="181">
        <f t="shared" si="138"/>
        <v>0</v>
      </c>
      <c r="AD71" s="190" t="s">
        <v>76</v>
      </c>
      <c r="AE71" s="151"/>
      <c r="AF71" s="146">
        <f>IFERROR(('B2'!S114/(VLOOKUP(D5,Currency!$A$2:$D$33,3,FALSE))*100),0)</f>
        <v>0</v>
      </c>
      <c r="AG71" s="146">
        <f>IFERROR(('B2'!T114/(VLOOKUP(D5,Currency!$A$2:$D$33,3,FALSE))*100),0)</f>
        <v>0</v>
      </c>
      <c r="AH71" s="146">
        <f>IFERROR(('B2'!U114/(VLOOKUP(D5,Currency!$A$2:$D$33,3,FALSE))*100),0)</f>
        <v>0</v>
      </c>
      <c r="AI71" s="146">
        <f>IFERROR(('B2'!V114/(VLOOKUP(D5,Currency!$A$2:$D$33,3,FALSE))*100),0)</f>
        <v>0</v>
      </c>
      <c r="AJ71" s="146">
        <f>IFERROR(('B2'!W114/(VLOOKUP(D5,Currency!$A$2:$D$33,3,FALSE))*100),0)</f>
        <v>0</v>
      </c>
      <c r="AK71" s="146">
        <f>IFERROR(('B2'!X114/(VLOOKUP(D5,Currency!$A$2:$D$33,3,FALSE))*100),0)</f>
        <v>0</v>
      </c>
      <c r="AL71" s="151">
        <f>IFERROR(('B2'!Y114/(VLOOKUP(D5,Currency!$A$2:$D$33,3,FALSE))*100),0)</f>
        <v>0</v>
      </c>
      <c r="AM71" s="146">
        <f>IFERROR(('B2'!Z114/(VLOOKUP(D5,Currency!$A$2:$D$33,3,FALSE))*100),0)</f>
        <v>0</v>
      </c>
      <c r="AN71" s="151">
        <f>IFERROR(('B2'!AA114/(VLOOKUP(D5,Currency!$A$2:$D$33,3,FALSE))*100),0)</f>
        <v>0</v>
      </c>
      <c r="AO71" s="151">
        <f>IFERROR(('B2'!AB114/(VLOOKUP(D5,Currency!$A$2:$D$33,3,FALSE))*100),0)</f>
        <v>0</v>
      </c>
      <c r="AP71" s="181">
        <f t="shared" si="139"/>
        <v>0</v>
      </c>
      <c r="AR71" s="190" t="s">
        <v>76</v>
      </c>
      <c r="AS71" s="151"/>
      <c r="AT71" s="146">
        <f>IFERROR(('B3'!S114/(VLOOKUP(D5,Currency!$A$2:$D$33,3,FALSE))*100),0)</f>
        <v>0</v>
      </c>
      <c r="AU71" s="146">
        <f>IFERROR(('B3'!T114/(VLOOKUP(D5,Currency!$A$2:$D$33,3,FALSE))*100),0)</f>
        <v>0</v>
      </c>
      <c r="AV71" s="146">
        <f>IFERROR(('B3'!U114/(VLOOKUP(D5,Currency!$A$2:$D$33,3,FALSE))*100),0)</f>
        <v>0</v>
      </c>
      <c r="AW71" s="146">
        <f>IFERROR(('B3'!V114/(VLOOKUP(D5,Currency!$A$2:$D$33,3,FALSE))*100),0)</f>
        <v>0</v>
      </c>
      <c r="AX71" s="146">
        <f>IFERROR(('B3'!W114/(VLOOKUP(D5,Currency!$A$2:$D$33,3,FALSE))*100),0)</f>
        <v>0</v>
      </c>
      <c r="AY71" s="146">
        <f>IFERROR(('B3'!X114/(VLOOKUP(D5,Currency!$A$2:$D$33,3,FALSE))*100),0)</f>
        <v>0</v>
      </c>
      <c r="AZ71" s="151">
        <f>IFERROR(('B3'!Y114/(VLOOKUP(D5,Currency!$A$2:$D$33,3,FALSE))*100),0)</f>
        <v>0</v>
      </c>
      <c r="BA71" s="146">
        <f>IFERROR(('B3'!Z114/(VLOOKUP(D5,Currency!$A$2:$D$33,3,FALSE))*100),0)</f>
        <v>0</v>
      </c>
      <c r="BB71" s="151">
        <f>IFERROR(('B3'!AA114/(VLOOKUP(D5,Currency!$A$2:$D$33,3,FALSE))*100),0)</f>
        <v>0</v>
      </c>
      <c r="BC71" s="151">
        <f>IFERROR(('B3'!AB114/(VLOOKUP(D5,Currency!$A$2:$D$33,3,FALSE))*100),0)</f>
        <v>0</v>
      </c>
      <c r="BD71" s="181">
        <f t="shared" si="140"/>
        <v>0</v>
      </c>
      <c r="BF71" s="190" t="s">
        <v>76</v>
      </c>
      <c r="BG71" s="151"/>
      <c r="BH71" s="146">
        <f>IFERROR(('B4'!S114/(VLOOKUP(D5,Currency!$A$2:$D$33,3,FALSE))*100),0)</f>
        <v>0</v>
      </c>
      <c r="BI71" s="146">
        <f>IFERROR(('B4'!T114/(VLOOKUP(D5,Currency!$A$2:$D$33,3,FALSE))*100),0)</f>
        <v>0</v>
      </c>
      <c r="BJ71" s="146">
        <f>IFERROR(('B4'!U114/(VLOOKUP(D5,Currency!$A$2:$D$33,3,FALSE))*100),0)</f>
        <v>0</v>
      </c>
      <c r="BK71" s="146">
        <f>IFERROR(('B4'!V114/(VLOOKUP(D5,Currency!$A$2:$D$33,3,FALSE))*100),0)</f>
        <v>0</v>
      </c>
      <c r="BL71" s="146">
        <f>IFERROR(('B4'!W114/(VLOOKUP(D5,Currency!$A$2:$D$33,3,FALSE))*100),0)</f>
        <v>0</v>
      </c>
      <c r="BM71" s="146">
        <f>IFERROR(('B4'!X114/(VLOOKUP(D5,Currency!$A$2:$D$33,3,FALSE))*100),0)</f>
        <v>0</v>
      </c>
      <c r="BN71" s="151">
        <f>IFERROR(('B4'!Y114/(VLOOKUP(D5,Currency!$A$2:$D$33,3,FALSE))*100),0)</f>
        <v>0</v>
      </c>
      <c r="BO71" s="146">
        <f>IFERROR(('B4'!Z114/(VLOOKUP(D5,Currency!$A$2:$D$33,3,FALSE))*100),0)</f>
        <v>0</v>
      </c>
      <c r="BP71" s="151">
        <f>IFERROR(('B4'!AA114/(VLOOKUP(D5,Currency!$A$2:$D$33,3,FALSE))*100),0)</f>
        <v>0</v>
      </c>
      <c r="BQ71" s="151">
        <f>IFERROR(('B4'!AB114/(VLOOKUP(D5,Currency!$A$2:$D$33,3,FALSE))*100),0)</f>
        <v>0</v>
      </c>
      <c r="BR71" s="181">
        <f t="shared" si="141"/>
        <v>0</v>
      </c>
      <c r="BT71" s="190" t="s">
        <v>76</v>
      </c>
      <c r="BU71" s="151"/>
      <c r="BV71" s="146">
        <f>IFERROR(('B5'!S114/(VLOOKUP(D5,Currency!$A$2:$D$33,3,FALSE))*100),0)</f>
        <v>0</v>
      </c>
      <c r="BW71" s="146">
        <f>IFERROR(('B5'!T114/(VLOOKUP(D5,Currency!$A$2:$D$33,3,FALSE))*100),0)</f>
        <v>0</v>
      </c>
      <c r="BX71" s="146">
        <f>IFERROR(('B5'!U114/(VLOOKUP(D5,Currency!$A$2:$D$33,3,FALSE))*100),0)</f>
        <v>0</v>
      </c>
      <c r="BY71" s="146">
        <f>IFERROR(('B5'!V114/(VLOOKUP(D5,Currency!$A$2:$D$33,3,FALSE))*100),0)</f>
        <v>0</v>
      </c>
      <c r="BZ71" s="146">
        <f>IFERROR(('B5'!W114/(VLOOKUP(D5,Currency!$A$2:$D$33,3,FALSE))*100),0)</f>
        <v>0</v>
      </c>
      <c r="CA71" s="146">
        <f>IFERROR(('B5'!X114/(VLOOKUP(D5,Currency!$A$2:$D$33,3,FALSE))*100),0)</f>
        <v>0</v>
      </c>
      <c r="CB71" s="151">
        <f>IFERROR(('B5'!Y114/(VLOOKUP(D5,Currency!$A$2:$D$33,3,FALSE))*100),0)</f>
        <v>0</v>
      </c>
      <c r="CC71" s="146">
        <f>IFERROR(('B5'!Z114/(VLOOKUP(D5,Currency!$A$2:$D$33,3,FALSE))*100),0)</f>
        <v>0</v>
      </c>
      <c r="CD71" s="151">
        <f>IFERROR(('B5'!AA114/(VLOOKUP(D5,Currency!$A$2:$D$33,3,FALSE))*100),0)</f>
        <v>0</v>
      </c>
      <c r="CE71" s="151">
        <f>IFERROR(('B5'!AB114/(VLOOKUP(D5,Currency!$A$2:$D$33,3,FALSE))*100),0)</f>
        <v>0</v>
      </c>
      <c r="CF71" s="181">
        <f t="shared" si="142"/>
        <v>0</v>
      </c>
    </row>
    <row r="72" spans="2:84" x14ac:dyDescent="0.2">
      <c r="B72" s="190" t="s">
        <v>77</v>
      </c>
      <c r="C72" s="151"/>
      <c r="D72" s="146">
        <f>IFERROR((Total!D65/(VLOOKUP(D5,Currency!$A$2:$D$33,3,FALSE))*100),0)</f>
        <v>0</v>
      </c>
      <c r="E72" s="196">
        <f>IFERROR((Total!E65/(VLOOKUP(D5,Currency!$A$2:$D$33,3,FALSE))*100),0)</f>
        <v>0</v>
      </c>
      <c r="F72" s="196">
        <f>IFERROR((Total!F65/(VLOOKUP(D5,Currency!$A$2:$D$33,3,FALSE))*100),0)</f>
        <v>0</v>
      </c>
      <c r="G72" s="196">
        <f>IFERROR((Total!G65/(VLOOKUP(D5,Currency!$A$2:$D$33,3,FALSE))*100),0)</f>
        <v>0</v>
      </c>
      <c r="H72" s="196">
        <f>IFERROR((Total!H65/(VLOOKUP(D5,Currency!$A$2:$D$33,3,FALSE))*100),0)</f>
        <v>0</v>
      </c>
      <c r="I72" s="196">
        <f>IFERROR((Total!I65/(VLOOKUP(D5,Currency!$A$2:$D$33,3,FALSE))*100),0)</f>
        <v>0</v>
      </c>
      <c r="J72" s="197">
        <f>IFERROR((Total!J65/(VLOOKUP(D5,Currency!$A$2:$D$33,3,FALSE))*100),0)</f>
        <v>0</v>
      </c>
      <c r="K72" s="196">
        <f>IFERROR((Total!K65/(VLOOKUP(D5,Currency!$A$2:$D$33,3,FALSE))*100),0)</f>
        <v>0</v>
      </c>
      <c r="L72" s="197">
        <f>IFERROR((Total!L65/(VLOOKUP(D5,Currency!$A$2:$D$33,3,FALSE))*100),0)</f>
        <v>0</v>
      </c>
      <c r="M72" s="197">
        <f>IFERROR((Total!M65/(VLOOKUP(D5,Currency!$A$2:$D$33,3,FALSE))*100),0)</f>
        <v>0</v>
      </c>
      <c r="N72" s="181">
        <f t="shared" si="137"/>
        <v>0</v>
      </c>
      <c r="P72" s="190" t="s">
        <v>77</v>
      </c>
      <c r="Q72" s="151"/>
      <c r="R72" s="146">
        <f>IFERROR(('B1'!S115/(VLOOKUP(D5,Currency!$A$2:$D$33,3,FALSE))*100),0)</f>
        <v>0</v>
      </c>
      <c r="S72" s="196">
        <f>IFERROR(('B1'!T115/(VLOOKUP(D5,Currency!$A$2:$D$33,3,FALSE))*100),0)</f>
        <v>0</v>
      </c>
      <c r="T72" s="196">
        <f>IFERROR(('B1'!U115/(VLOOKUP(D5,Currency!$A$2:$D$33,3,FALSE))*100),0)</f>
        <v>0</v>
      </c>
      <c r="U72" s="196">
        <f>IFERROR(('B1'!V115/(VLOOKUP(D5,Currency!$A$2:$D$33,3,FALSE))*100),0)</f>
        <v>0</v>
      </c>
      <c r="V72" s="196">
        <f>IFERROR(('B1'!W115/(VLOOKUP(D5,Currency!$A$2:$D$33,3,FALSE))*100),0)</f>
        <v>0</v>
      </c>
      <c r="W72" s="196">
        <f>IFERROR(('B1'!X115/(VLOOKUP(D5,Currency!$A$2:$D$33,3,FALSE))*100),0)</f>
        <v>0</v>
      </c>
      <c r="X72" s="197">
        <f>IFERROR(('B1'!Y115/(VLOOKUP(D5,Currency!$A$2:$D$33,3,FALSE))*100),0)</f>
        <v>0</v>
      </c>
      <c r="Y72" s="196">
        <f>IFERROR(('B1'!Z115/(VLOOKUP(D5,Currency!$A$2:$D$33,3,FALSE))*100),0)</f>
        <v>0</v>
      </c>
      <c r="Z72" s="197">
        <f>IFERROR(('B1'!AA115/(VLOOKUP(D5,Currency!$A$2:$D$33,3,FALSE))*100),0)</f>
        <v>0</v>
      </c>
      <c r="AA72" s="197">
        <f>IFERROR(('B1'!AB115/(VLOOKUP(D5,Currency!$A$2:$D$33,3,FALSE))*100),0)</f>
        <v>0</v>
      </c>
      <c r="AB72" s="181">
        <f t="shared" si="138"/>
        <v>0</v>
      </c>
      <c r="AD72" s="190" t="s">
        <v>77</v>
      </c>
      <c r="AE72" s="151"/>
      <c r="AF72" s="146">
        <f>IFERROR(('B2'!S115/(VLOOKUP(D5,Currency!$A$2:$D$33,3,FALSE))*100),0)</f>
        <v>0</v>
      </c>
      <c r="AG72" s="196">
        <f>IFERROR(('B2'!T115/(VLOOKUP(D5,Currency!$A$2:$D$33,3,FALSE))*100),0)</f>
        <v>0</v>
      </c>
      <c r="AH72" s="196">
        <f>IFERROR(('B2'!U115/(VLOOKUP(D5,Currency!$A$2:$D$33,3,FALSE))*100),0)</f>
        <v>0</v>
      </c>
      <c r="AI72" s="196">
        <f>IFERROR(('B2'!V115/(VLOOKUP(D5,Currency!$A$2:$D$33,3,FALSE))*100),0)</f>
        <v>0</v>
      </c>
      <c r="AJ72" s="196">
        <f>IFERROR(('B2'!W115/(VLOOKUP(D5,Currency!$A$2:$D$33,3,FALSE))*100),0)</f>
        <v>0</v>
      </c>
      <c r="AK72" s="196">
        <f>IFERROR(('B2'!X115/(VLOOKUP(D5,Currency!$A$2:$D$33,3,FALSE))*100),0)</f>
        <v>0</v>
      </c>
      <c r="AL72" s="197">
        <f>IFERROR(('B2'!Y115/(VLOOKUP(D5,Currency!$A$2:$D$33,3,FALSE))*100),0)</f>
        <v>0</v>
      </c>
      <c r="AM72" s="196">
        <f>IFERROR(('B2'!Z115/(VLOOKUP(D5,Currency!$A$2:$D$33,3,FALSE))*100),0)</f>
        <v>0</v>
      </c>
      <c r="AN72" s="197">
        <f>IFERROR(('B2'!AA115/(VLOOKUP(D5,Currency!$A$2:$D$33,3,FALSE))*100),0)</f>
        <v>0</v>
      </c>
      <c r="AO72" s="197">
        <f>IFERROR(('B2'!AB115/(VLOOKUP(D5,Currency!$A$2:$D$33,3,FALSE))*100),0)</f>
        <v>0</v>
      </c>
      <c r="AP72" s="181">
        <f t="shared" si="139"/>
        <v>0</v>
      </c>
      <c r="AR72" s="190" t="s">
        <v>77</v>
      </c>
      <c r="AS72" s="151"/>
      <c r="AT72" s="146">
        <f>IFERROR(('B3'!S115/(VLOOKUP(D5,Currency!$A$2:$D$33,3,FALSE))*100),0)</f>
        <v>0</v>
      </c>
      <c r="AU72" s="196">
        <f>IFERROR(('B3'!T115/(VLOOKUP(D5,Currency!$A$2:$D$33,3,FALSE))*100),0)</f>
        <v>0</v>
      </c>
      <c r="AV72" s="196">
        <f>IFERROR(('B3'!U115/(VLOOKUP(D5,Currency!$A$2:$D$33,3,FALSE))*100),0)</f>
        <v>0</v>
      </c>
      <c r="AW72" s="196">
        <f>IFERROR(('B3'!V115/(VLOOKUP(D5,Currency!$A$2:$D$33,3,FALSE))*100),0)</f>
        <v>0</v>
      </c>
      <c r="AX72" s="196">
        <f>IFERROR(('B3'!W115/(VLOOKUP(D5,Currency!$A$2:$D$33,3,FALSE))*100),0)</f>
        <v>0</v>
      </c>
      <c r="AY72" s="196">
        <f>IFERROR(('B3'!X115/(VLOOKUP(D5,Currency!$A$2:$D$33,3,FALSE))*100),0)</f>
        <v>0</v>
      </c>
      <c r="AZ72" s="197">
        <f>IFERROR(('B3'!Y115/(VLOOKUP(D5,Currency!$A$2:$D$33,3,FALSE))*100),0)</f>
        <v>0</v>
      </c>
      <c r="BA72" s="196">
        <f>IFERROR(('B3'!Z115/(VLOOKUP(D5,Currency!$A$2:$D$33,3,FALSE))*100),0)</f>
        <v>0</v>
      </c>
      <c r="BB72" s="197">
        <f>IFERROR(('B3'!AA115/(VLOOKUP(D5,Currency!$A$2:$D$33,3,FALSE))*100),0)</f>
        <v>0</v>
      </c>
      <c r="BC72" s="197">
        <f>IFERROR(('B3'!AB115/(VLOOKUP(D5,Currency!$A$2:$D$33,3,FALSE))*100),0)</f>
        <v>0</v>
      </c>
      <c r="BD72" s="181">
        <f t="shared" si="140"/>
        <v>0</v>
      </c>
      <c r="BF72" s="190" t="s">
        <v>77</v>
      </c>
      <c r="BG72" s="151"/>
      <c r="BH72" s="146">
        <f>IFERROR(('B4'!S115/(VLOOKUP(D5,Currency!$A$2:$D$33,3,FALSE))*100),0)</f>
        <v>0</v>
      </c>
      <c r="BI72" s="196">
        <f>IFERROR(('B4'!T115/(VLOOKUP(D5,Currency!$A$2:$D$33,3,FALSE))*100),0)</f>
        <v>0</v>
      </c>
      <c r="BJ72" s="196">
        <f>IFERROR(('B4'!U115/(VLOOKUP(D5,Currency!$A$2:$D$33,3,FALSE))*100),0)</f>
        <v>0</v>
      </c>
      <c r="BK72" s="196">
        <f>IFERROR(('B4'!V115/(VLOOKUP(D5,Currency!$A$2:$D$33,3,FALSE))*100),0)</f>
        <v>0</v>
      </c>
      <c r="BL72" s="196">
        <f>IFERROR(('B4'!W115/(VLOOKUP(D5,Currency!$A$2:$D$33,3,FALSE))*100),0)</f>
        <v>0</v>
      </c>
      <c r="BM72" s="196">
        <f>IFERROR(('B4'!X115/(VLOOKUP(D5,Currency!$A$2:$D$33,3,FALSE))*100),0)</f>
        <v>0</v>
      </c>
      <c r="BN72" s="197">
        <f>IFERROR(('B4'!Y115/(VLOOKUP(D5,Currency!$A$2:$D$33,3,FALSE))*100),0)</f>
        <v>0</v>
      </c>
      <c r="BO72" s="196">
        <f>IFERROR(('B4'!Z115/(VLOOKUP(D5,Currency!$A$2:$D$33,3,FALSE))*100),0)</f>
        <v>0</v>
      </c>
      <c r="BP72" s="197">
        <f>IFERROR(('B4'!AA115/(VLOOKUP(D5,Currency!$A$2:$D$33,3,FALSE))*100),0)</f>
        <v>0</v>
      </c>
      <c r="BQ72" s="197">
        <f>IFERROR(('B4'!AB115/(VLOOKUP(D5,Currency!$A$2:$D$33,3,FALSE))*100),0)</f>
        <v>0</v>
      </c>
      <c r="BR72" s="181">
        <f t="shared" si="141"/>
        <v>0</v>
      </c>
      <c r="BT72" s="190" t="s">
        <v>77</v>
      </c>
      <c r="BU72" s="151"/>
      <c r="BV72" s="146">
        <f>IFERROR(('B5'!S115/(VLOOKUP(D5,Currency!$A$2:$D$33,3,FALSE))*100),0)</f>
        <v>0</v>
      </c>
      <c r="BW72" s="196">
        <f>IFERROR(('B5'!T115/(VLOOKUP(D5,Currency!$A$2:$D$33,3,FALSE))*100),0)</f>
        <v>0</v>
      </c>
      <c r="BX72" s="196">
        <f>IFERROR(('B5'!U115/(VLOOKUP(D5,Currency!$A$2:$D$33,3,FALSE))*100),0)</f>
        <v>0</v>
      </c>
      <c r="BY72" s="196">
        <f>IFERROR(('B5'!V115/(VLOOKUP(D5,Currency!$A$2:$D$33,3,FALSE))*100),0)</f>
        <v>0</v>
      </c>
      <c r="BZ72" s="196">
        <f>IFERROR(('B5'!W115/(VLOOKUP(D5,Currency!$A$2:$D$33,3,FALSE))*100),0)</f>
        <v>0</v>
      </c>
      <c r="CA72" s="196">
        <f>IFERROR(('B5'!X115/(VLOOKUP(D5,Currency!$A$2:$D$33,3,FALSE))*100),0)</f>
        <v>0</v>
      </c>
      <c r="CB72" s="197">
        <f>IFERROR(('B5'!Y115/(VLOOKUP(D5,Currency!$A$2:$D$33,3,FALSE))*100),0)</f>
        <v>0</v>
      </c>
      <c r="CC72" s="196">
        <f>IFERROR(('B5'!Z115/(VLOOKUP(D5,Currency!$A$2:$D$33,3,FALSE))*100),0)</f>
        <v>0</v>
      </c>
      <c r="CD72" s="197">
        <f>IFERROR(('B5'!AA115/(VLOOKUP(D5,Currency!$A$2:$D$33,3,FALSE))*100),0)</f>
        <v>0</v>
      </c>
      <c r="CE72" s="197">
        <f>IFERROR(('B5'!AB115/(VLOOKUP(D5,Currency!$A$2:$D$33,3,FALSE))*100),0)</f>
        <v>0</v>
      </c>
      <c r="CF72" s="181">
        <f t="shared" si="142"/>
        <v>0</v>
      </c>
    </row>
    <row r="73" spans="2:84" x14ac:dyDescent="0.2">
      <c r="B73" s="190" t="s">
        <v>78</v>
      </c>
      <c r="C73" s="151"/>
      <c r="D73" s="146">
        <f>IFERROR((Total!D66/(VLOOKUP(D5,Currency!$A$2:$D$33,3,FALSE))*100),0)</f>
        <v>0</v>
      </c>
      <c r="E73" s="203">
        <f>IFERROR((Total!E66/(VLOOKUP(D5,Currency!$A$2:$D$33,3,FALSE))*100),0)</f>
        <v>0</v>
      </c>
      <c r="F73" s="203">
        <f>IFERROR((Total!F66/(VLOOKUP(D5,Currency!$A$2:$D$33,3,FALSE))*100),0)</f>
        <v>0</v>
      </c>
      <c r="G73" s="203">
        <f>IFERROR((Total!G66/(VLOOKUP(D5,Currency!$A$2:$D$33,3,FALSE))*100),0)</f>
        <v>0</v>
      </c>
      <c r="H73" s="203">
        <f>IFERROR((Total!H66/(VLOOKUP(D5,Currency!$A$2:$D$33,3,FALSE))*100),0)</f>
        <v>0</v>
      </c>
      <c r="I73" s="203">
        <f>IFERROR((Total!I66/(VLOOKUP(D5,Currency!$A$2:$D$33,3,FALSE))*100),0)</f>
        <v>0</v>
      </c>
      <c r="J73" s="204">
        <f>IFERROR((Total!J66/(VLOOKUP(D5,Currency!$A$2:$D$33,3,FALSE))*100),0)</f>
        <v>0</v>
      </c>
      <c r="K73" s="203">
        <f>IFERROR((Total!K66/(VLOOKUP(D5,Currency!$A$2:$D$33,3,FALSE))*100),0)</f>
        <v>0</v>
      </c>
      <c r="L73" s="204">
        <f>IFERROR((Total!L66/(VLOOKUP(D5,Currency!$A$2:$D$33,3,FALSE))*100),0)</f>
        <v>0</v>
      </c>
      <c r="M73" s="204">
        <f>IFERROR((Total!M66/(VLOOKUP(D5,Currency!$A$2:$D$33,3,FALSE))*100),0)</f>
        <v>0</v>
      </c>
      <c r="N73" s="181">
        <f t="shared" si="137"/>
        <v>0</v>
      </c>
      <c r="P73" s="190" t="s">
        <v>78</v>
      </c>
      <c r="Q73" s="151"/>
      <c r="R73" s="146">
        <f>IFERROR(('B1'!S116/(VLOOKUP(D5,Currency!$A$2:$D$33,3,FALSE))*100),0)</f>
        <v>0</v>
      </c>
      <c r="S73" s="203">
        <f>IFERROR(('B1'!T116/(VLOOKUP(D5,Currency!$A$2:$D$33,3,FALSE))*100),0)</f>
        <v>0</v>
      </c>
      <c r="T73" s="203">
        <f>IFERROR(('B1'!U116/(VLOOKUP(D5,Currency!$A$2:$D$33,3,FALSE))*100),0)</f>
        <v>0</v>
      </c>
      <c r="U73" s="203">
        <f>IFERROR(('B1'!V116/(VLOOKUP(D5,Currency!$A$2:$D$33,3,FALSE))*100),0)</f>
        <v>0</v>
      </c>
      <c r="V73" s="203">
        <f>IFERROR(('B1'!W116/(VLOOKUP(D5,Currency!$A$2:$D$33,3,FALSE))*100),0)</f>
        <v>0</v>
      </c>
      <c r="W73" s="203">
        <f>IFERROR(('B1'!X116/(VLOOKUP(D5,Currency!$A$2:$D$33,3,FALSE))*100),0)</f>
        <v>0</v>
      </c>
      <c r="X73" s="204">
        <f>IFERROR(('B1'!Y116/(VLOOKUP(D5,Currency!$A$2:$D$33,3,FALSE))*100),0)</f>
        <v>0</v>
      </c>
      <c r="Y73" s="203">
        <f>IFERROR(('B1'!Z116/(VLOOKUP(D5,Currency!$A$2:$D$33,3,FALSE))*100),0)</f>
        <v>0</v>
      </c>
      <c r="Z73" s="204">
        <f>IFERROR(('B1'!AA116/(VLOOKUP(D5,Currency!$A$2:$D$33,3,FALSE))*100),0)</f>
        <v>0</v>
      </c>
      <c r="AA73" s="204">
        <f>IFERROR(('B1'!AB116/(VLOOKUP(D5,Currency!$A$2:$D$33,3,FALSE))*100),0)</f>
        <v>0</v>
      </c>
      <c r="AB73" s="181">
        <f t="shared" si="138"/>
        <v>0</v>
      </c>
      <c r="AD73" s="190" t="s">
        <v>78</v>
      </c>
      <c r="AE73" s="151"/>
      <c r="AF73" s="146">
        <f>IFERROR(('B2'!S116/(VLOOKUP(D5,Currency!$A$2:$D$33,3,FALSE))*100),0)</f>
        <v>0</v>
      </c>
      <c r="AG73" s="203">
        <f>IFERROR(('B2'!T116/(VLOOKUP(D5,Currency!$A$2:$D$33,3,FALSE))*100),0)</f>
        <v>0</v>
      </c>
      <c r="AH73" s="203">
        <f>IFERROR(('B2'!U116/(VLOOKUP(D5,Currency!$A$2:$D$33,3,FALSE))*100),0)</f>
        <v>0</v>
      </c>
      <c r="AI73" s="203">
        <f>IFERROR(('B2'!V116/(VLOOKUP(D5,Currency!$A$2:$D$33,3,FALSE))*100),0)</f>
        <v>0</v>
      </c>
      <c r="AJ73" s="203">
        <f>IFERROR(('B2'!W116/(VLOOKUP(D5,Currency!$A$2:$D$33,3,FALSE))*100),0)</f>
        <v>0</v>
      </c>
      <c r="AK73" s="203">
        <f>IFERROR(('B2'!X116/(VLOOKUP(D5,Currency!$A$2:$D$33,3,FALSE))*100),0)</f>
        <v>0</v>
      </c>
      <c r="AL73" s="204">
        <f>IFERROR(('B2'!Y116/(VLOOKUP(D5,Currency!$A$2:$D$33,3,FALSE))*100),0)</f>
        <v>0</v>
      </c>
      <c r="AM73" s="203">
        <f>IFERROR(('B2'!Z116/(VLOOKUP(D5,Currency!$A$2:$D$33,3,FALSE))*100),0)</f>
        <v>0</v>
      </c>
      <c r="AN73" s="204">
        <f>IFERROR(('B2'!AA116/(VLOOKUP(D5,Currency!$A$2:$D$33,3,FALSE))*100),0)</f>
        <v>0</v>
      </c>
      <c r="AO73" s="204">
        <f>IFERROR(('B2'!AB116/(VLOOKUP(D5,Currency!$A$2:$D$33,3,FALSE))*100),0)</f>
        <v>0</v>
      </c>
      <c r="AP73" s="181">
        <f t="shared" si="139"/>
        <v>0</v>
      </c>
      <c r="AR73" s="190" t="s">
        <v>78</v>
      </c>
      <c r="AS73" s="151"/>
      <c r="AT73" s="146">
        <f>IFERROR(('B3'!S116/(VLOOKUP(D5,Currency!$A$2:$D$33,3,FALSE))*100),0)</f>
        <v>0</v>
      </c>
      <c r="AU73" s="203">
        <f>IFERROR(('B3'!T116/(VLOOKUP(D5,Currency!$A$2:$D$33,3,FALSE))*100),0)</f>
        <v>0</v>
      </c>
      <c r="AV73" s="203">
        <f>IFERROR(('B3'!U116/(VLOOKUP(D5,Currency!$A$2:$D$33,3,FALSE))*100),0)</f>
        <v>0</v>
      </c>
      <c r="AW73" s="203">
        <f>IFERROR(('B3'!V116/(VLOOKUP(D5,Currency!$A$2:$D$33,3,FALSE))*100),0)</f>
        <v>0</v>
      </c>
      <c r="AX73" s="203">
        <f>IFERROR(('B3'!W116/(VLOOKUP(D5,Currency!$A$2:$D$33,3,FALSE))*100),0)</f>
        <v>0</v>
      </c>
      <c r="AY73" s="203">
        <f>IFERROR(('B3'!X116/(VLOOKUP(D5,Currency!$A$2:$D$33,3,FALSE))*100),0)</f>
        <v>0</v>
      </c>
      <c r="AZ73" s="204">
        <f>IFERROR(('B3'!Y116/(VLOOKUP(D5,Currency!$A$2:$D$33,3,FALSE))*100),0)</f>
        <v>0</v>
      </c>
      <c r="BA73" s="203">
        <f>IFERROR(('B3'!Z116/(VLOOKUP(D5,Currency!$A$2:$D$33,3,FALSE))*100),0)</f>
        <v>0</v>
      </c>
      <c r="BB73" s="204">
        <f>IFERROR(('B3'!AA116/(VLOOKUP(D5,Currency!$A$2:$D$33,3,FALSE))*100),0)</f>
        <v>0</v>
      </c>
      <c r="BC73" s="204">
        <f>IFERROR(('B3'!AB116/(VLOOKUP(D5,Currency!$A$2:$D$33,3,FALSE))*100),0)</f>
        <v>0</v>
      </c>
      <c r="BD73" s="181">
        <f t="shared" si="140"/>
        <v>0</v>
      </c>
      <c r="BF73" s="190" t="s">
        <v>78</v>
      </c>
      <c r="BG73" s="151"/>
      <c r="BH73" s="146">
        <f>IFERROR(('B4'!S116/(VLOOKUP(D5,Currency!$A$2:$D$33,3,FALSE))*100),0)</f>
        <v>0</v>
      </c>
      <c r="BI73" s="203">
        <f>IFERROR(('B4'!T116/(VLOOKUP(D5,Currency!$A$2:$D$33,3,FALSE))*100),0)</f>
        <v>0</v>
      </c>
      <c r="BJ73" s="203">
        <f>IFERROR(('B4'!U116/(VLOOKUP(D5,Currency!$A$2:$D$33,3,FALSE))*100),0)</f>
        <v>0</v>
      </c>
      <c r="BK73" s="203">
        <f>IFERROR(('B4'!V116/(VLOOKUP(D5,Currency!$A$2:$D$33,3,FALSE))*100),0)</f>
        <v>0</v>
      </c>
      <c r="BL73" s="203">
        <f>IFERROR(('B4'!W116/(VLOOKUP(D5,Currency!$A$2:$D$33,3,FALSE))*100),0)</f>
        <v>0</v>
      </c>
      <c r="BM73" s="203">
        <f>IFERROR(('B4'!X116/(VLOOKUP(D5,Currency!$A$2:$D$33,3,FALSE))*100),0)</f>
        <v>0</v>
      </c>
      <c r="BN73" s="204">
        <f>IFERROR(('B4'!Y116/(VLOOKUP(D5,Currency!$A$2:$D$33,3,FALSE))*100),0)</f>
        <v>0</v>
      </c>
      <c r="BO73" s="203">
        <f>IFERROR(('B4'!Z116/(VLOOKUP(D5,Currency!$A$2:$D$33,3,FALSE))*100),0)</f>
        <v>0</v>
      </c>
      <c r="BP73" s="204">
        <f>IFERROR(('B4'!AA116/(VLOOKUP(D5,Currency!$A$2:$D$33,3,FALSE))*100),0)</f>
        <v>0</v>
      </c>
      <c r="BQ73" s="204">
        <f>IFERROR(('B4'!AB116/(VLOOKUP(D5,Currency!$A$2:$D$33,3,FALSE))*100),0)</f>
        <v>0</v>
      </c>
      <c r="BR73" s="181">
        <f t="shared" si="141"/>
        <v>0</v>
      </c>
      <c r="BT73" s="190" t="s">
        <v>78</v>
      </c>
      <c r="BU73" s="151"/>
      <c r="BV73" s="146">
        <f>IFERROR(('B5'!S116/(VLOOKUP(D5,Currency!$A$2:$D$33,3,FALSE))*100),0)</f>
        <v>0</v>
      </c>
      <c r="BW73" s="203">
        <f>IFERROR(('B5'!T116/(VLOOKUP(D5,Currency!$A$2:$D$33,3,FALSE))*100),0)</f>
        <v>0</v>
      </c>
      <c r="BX73" s="203">
        <f>IFERROR(('B5'!U116/(VLOOKUP(D5,Currency!$A$2:$D$33,3,FALSE))*100),0)</f>
        <v>0</v>
      </c>
      <c r="BY73" s="203">
        <f>IFERROR(('B5'!V116/(VLOOKUP(D5,Currency!$A$2:$D$33,3,FALSE))*100),0)</f>
        <v>0</v>
      </c>
      <c r="BZ73" s="203">
        <f>IFERROR(('B5'!W116/(VLOOKUP(D5,Currency!$A$2:$D$33,3,FALSE))*100),0)</f>
        <v>0</v>
      </c>
      <c r="CA73" s="203">
        <f>IFERROR(('B5'!X116/(VLOOKUP(D5,Currency!$A$2:$D$33,3,FALSE))*100),0)</f>
        <v>0</v>
      </c>
      <c r="CB73" s="204">
        <f>IFERROR(('B5'!Y116/(VLOOKUP(D5,Currency!$A$2:$D$33,3,FALSE))*100),0)</f>
        <v>0</v>
      </c>
      <c r="CC73" s="203">
        <f>IFERROR(('B5'!Z116/(VLOOKUP(D5,Currency!$A$2:$D$33,3,FALSE))*100),0)</f>
        <v>0</v>
      </c>
      <c r="CD73" s="204">
        <f>IFERROR(('B5'!AA116/(VLOOKUP(D5,Currency!$A$2:$D$33,3,FALSE))*100),0)</f>
        <v>0</v>
      </c>
      <c r="CE73" s="204">
        <f>IFERROR(('B5'!AB116/(VLOOKUP(D5,Currency!$A$2:$D$33,3,FALSE))*100),0)</f>
        <v>0</v>
      </c>
      <c r="CF73" s="181">
        <f t="shared" si="142"/>
        <v>0</v>
      </c>
    </row>
    <row r="74" spans="2:84" x14ac:dyDescent="0.2">
      <c r="B74" s="191" t="s">
        <v>0</v>
      </c>
      <c r="C74" s="119"/>
      <c r="D74" s="21">
        <f>IFERROR((Total!D67/(VLOOKUP(D5,Currency!$A$2:$D$33,3,FALSE))*100),0)</f>
        <v>0</v>
      </c>
      <c r="E74" s="198">
        <f>IFERROR((Total!E67/(VLOOKUP(D5,Currency!$A$2:$D$33,3,FALSE))*100),0)</f>
        <v>0</v>
      </c>
      <c r="F74" s="198">
        <f>IFERROR((Total!F67/(VLOOKUP(D5,Currency!$A$2:$D$33,3,FALSE))*100),0)</f>
        <v>0</v>
      </c>
      <c r="G74" s="198">
        <f>IFERROR((Total!G67/(VLOOKUP(D5,Currency!$A$2:$D$33,3,FALSE))*100),0)</f>
        <v>0</v>
      </c>
      <c r="H74" s="198">
        <f>IFERROR((Total!H67/(VLOOKUP(D5,Currency!$A$2:$D$33,3,FALSE))*100),0)</f>
        <v>0</v>
      </c>
      <c r="I74" s="198">
        <f>IFERROR((Total!I67/(VLOOKUP(D5,Currency!$A$2:$D$33,3,FALSE))*100),0)</f>
        <v>0</v>
      </c>
      <c r="J74" s="199">
        <f>IFERROR((Total!J67/(VLOOKUP(D5,Currency!$A$2:$D$33,3,FALSE))*100),0)</f>
        <v>0</v>
      </c>
      <c r="K74" s="198">
        <f>IFERROR((Total!K67/(VLOOKUP(D5,Currency!$A$2:$D$33,3,FALSE))*100),0)</f>
        <v>0</v>
      </c>
      <c r="L74" s="199">
        <f>IFERROR((Total!L67/(VLOOKUP(D5,Currency!$A$2:$D$33,3,FALSE))*100),0)</f>
        <v>0</v>
      </c>
      <c r="M74" s="199">
        <f>IFERROR((Total!M67/(VLOOKUP(D5,Currency!$A$2:$D$33,3,FALSE))*100),0)</f>
        <v>0</v>
      </c>
      <c r="N74" s="181">
        <f t="shared" si="137"/>
        <v>0</v>
      </c>
      <c r="P74" s="191" t="s">
        <v>0</v>
      </c>
      <c r="Q74" s="119"/>
      <c r="R74" s="21">
        <f>IFERROR(('B1'!S117/(VLOOKUP(D5,Currency!$A$2:$D$33,3,FALSE))*100),0)</f>
        <v>0</v>
      </c>
      <c r="S74" s="198">
        <f>IFERROR(('B1'!T117/(VLOOKUP(D5,Currency!$A$2:$D$33,3,FALSE))*100),0)</f>
        <v>0</v>
      </c>
      <c r="T74" s="198">
        <f>IFERROR(('B1'!U117/(VLOOKUP(D5,Currency!$A$2:$D$33,3,FALSE))*100),0)</f>
        <v>0</v>
      </c>
      <c r="U74" s="198">
        <f>IFERROR(('B1'!V117/(VLOOKUP(D5,Currency!$A$2:$D$33,3,FALSE))*100),0)</f>
        <v>0</v>
      </c>
      <c r="V74" s="198">
        <f>IFERROR(('B1'!W117/(VLOOKUP(D5,Currency!$A$2:$D$33,3,FALSE))*100),0)</f>
        <v>0</v>
      </c>
      <c r="W74" s="198">
        <f>IFERROR(('B1'!X117/(VLOOKUP(D5,Currency!$A$2:$D$33,3,FALSE))*100),0)</f>
        <v>0</v>
      </c>
      <c r="X74" s="199">
        <f>IFERROR(('B1'!Y117/(VLOOKUP(D5,Currency!$A$2:$D$33,3,FALSE))*100),0)</f>
        <v>0</v>
      </c>
      <c r="Y74" s="198">
        <f>IFERROR(('B1'!Z117/(VLOOKUP(D5,Currency!$A$2:$D$33,3,FALSE))*100),0)</f>
        <v>0</v>
      </c>
      <c r="Z74" s="199">
        <f>IFERROR(('B1'!AA117/(VLOOKUP(D5,Currency!$A$2:$D$33,3,FALSE))*100),0)</f>
        <v>0</v>
      </c>
      <c r="AA74" s="199">
        <f>IFERROR(('B1'!AB117/(VLOOKUP(D5,Currency!$A$2:$D$33,3,FALSE))*100),0)</f>
        <v>0</v>
      </c>
      <c r="AB74" s="181">
        <f t="shared" si="138"/>
        <v>0</v>
      </c>
      <c r="AD74" s="191" t="s">
        <v>0</v>
      </c>
      <c r="AE74" s="119"/>
      <c r="AF74" s="21">
        <f>IFERROR(('B2'!S117/(VLOOKUP(D5,Currency!$A$2:$D$33,3,FALSE))*100),0)</f>
        <v>0</v>
      </c>
      <c r="AG74" s="198">
        <f>IFERROR(('B2'!T117/(VLOOKUP(D5,Currency!$A$2:$D$33,3,FALSE))*100),0)</f>
        <v>0</v>
      </c>
      <c r="AH74" s="198">
        <f>IFERROR(('B2'!U117/(VLOOKUP(D5,Currency!$A$2:$D$33,3,FALSE))*100),0)</f>
        <v>0</v>
      </c>
      <c r="AI74" s="198">
        <f>IFERROR(('B2'!V117/(VLOOKUP(D5,Currency!$A$2:$D$33,3,FALSE))*100),0)</f>
        <v>0</v>
      </c>
      <c r="AJ74" s="198">
        <f>IFERROR(('B2'!W117/(VLOOKUP(D5,Currency!$A$2:$D$33,3,FALSE))*100),0)</f>
        <v>0</v>
      </c>
      <c r="AK74" s="198">
        <f>IFERROR(('B2'!X117/(VLOOKUP(D5,Currency!$A$2:$D$33,3,FALSE))*100),0)</f>
        <v>0</v>
      </c>
      <c r="AL74" s="199">
        <f>IFERROR(('B2'!Y117/(VLOOKUP(D5,Currency!$A$2:$D$33,3,FALSE))*100),0)</f>
        <v>0</v>
      </c>
      <c r="AM74" s="198">
        <f>IFERROR(('B2'!Z117/(VLOOKUP(D5,Currency!$A$2:$D$33,3,FALSE))*100),0)</f>
        <v>0</v>
      </c>
      <c r="AN74" s="199">
        <f>IFERROR(('B2'!AA117/(VLOOKUP(D5,Currency!$A$2:$D$33,3,FALSE))*100),0)</f>
        <v>0</v>
      </c>
      <c r="AO74" s="199">
        <f>IFERROR(('B2'!AB117/(VLOOKUP(D5,Currency!$A$2:$D$33,3,FALSE))*100),0)</f>
        <v>0</v>
      </c>
      <c r="AP74" s="181">
        <f t="shared" si="139"/>
        <v>0</v>
      </c>
      <c r="AR74" s="191" t="s">
        <v>0</v>
      </c>
      <c r="AS74" s="119"/>
      <c r="AT74" s="21">
        <f>IFERROR(('B3'!S117/(VLOOKUP(D5,Currency!$A$2:$D$33,3,FALSE))*100),0)</f>
        <v>0</v>
      </c>
      <c r="AU74" s="198">
        <f>IFERROR(('B3'!T117/(VLOOKUP(D5,Currency!$A$2:$D$33,3,FALSE))*100),0)</f>
        <v>0</v>
      </c>
      <c r="AV74" s="198">
        <f>IFERROR(('B3'!U117/(VLOOKUP(D5,Currency!$A$2:$D$33,3,FALSE))*100),0)</f>
        <v>0</v>
      </c>
      <c r="AW74" s="198">
        <f>IFERROR(('B3'!V117/(VLOOKUP(D5,Currency!$A$2:$D$33,3,FALSE))*100),0)</f>
        <v>0</v>
      </c>
      <c r="AX74" s="198">
        <f>IFERROR(('B3'!W117/(VLOOKUP(D5,Currency!$A$2:$D$33,3,FALSE))*100),0)</f>
        <v>0</v>
      </c>
      <c r="AY74" s="198">
        <f>IFERROR(('B3'!X117/(VLOOKUP(D5,Currency!$A$2:$D$33,3,FALSE))*100),0)</f>
        <v>0</v>
      </c>
      <c r="AZ74" s="199">
        <f>IFERROR(('B3'!Y117/(VLOOKUP(D5,Currency!$A$2:$D$33,3,FALSE))*100),0)</f>
        <v>0</v>
      </c>
      <c r="BA74" s="198">
        <f>IFERROR(('B3'!Z117/(VLOOKUP(D5,Currency!$A$2:$D$33,3,FALSE))*100),0)</f>
        <v>0</v>
      </c>
      <c r="BB74" s="199">
        <f>IFERROR(('B3'!AA117/(VLOOKUP(D5,Currency!$A$2:$D$33,3,FALSE))*100),0)</f>
        <v>0</v>
      </c>
      <c r="BC74" s="199">
        <f>IFERROR(('B3'!AB117/(VLOOKUP(D5,Currency!$A$2:$D$33,3,FALSE))*100),0)</f>
        <v>0</v>
      </c>
      <c r="BD74" s="181">
        <f t="shared" si="140"/>
        <v>0</v>
      </c>
      <c r="BF74" s="191" t="s">
        <v>0</v>
      </c>
      <c r="BG74" s="119"/>
      <c r="BH74" s="21">
        <f>IFERROR(('B4'!S117/(VLOOKUP(D5,Currency!$A$2:$D$33,3,FALSE))*100),0)</f>
        <v>0</v>
      </c>
      <c r="BI74" s="198">
        <f>IFERROR(('B4'!T117/(VLOOKUP(D5,Currency!$A$2:$D$33,3,FALSE))*100),0)</f>
        <v>0</v>
      </c>
      <c r="BJ74" s="198">
        <f>IFERROR(('B4'!U117/(VLOOKUP(D5,Currency!$A$2:$D$33,3,FALSE))*100),0)</f>
        <v>0</v>
      </c>
      <c r="BK74" s="198">
        <f>IFERROR(('B4'!V117/(VLOOKUP(D5,Currency!$A$2:$D$33,3,FALSE))*100),0)</f>
        <v>0</v>
      </c>
      <c r="BL74" s="198">
        <f>IFERROR(('B4'!W117/(VLOOKUP(D5,Currency!$A$2:$D$33,3,FALSE))*100),0)</f>
        <v>0</v>
      </c>
      <c r="BM74" s="198">
        <f>IFERROR(('B4'!X117/(VLOOKUP(D5,Currency!$A$2:$D$33,3,FALSE))*100),0)</f>
        <v>0</v>
      </c>
      <c r="BN74" s="199">
        <f>IFERROR(('B4'!Y117/(VLOOKUP(D5,Currency!$A$2:$D$33,3,FALSE))*100),0)</f>
        <v>0</v>
      </c>
      <c r="BO74" s="198">
        <f>IFERROR(('B4'!Z117/(VLOOKUP(D5,Currency!$A$2:$D$33,3,FALSE))*100),0)</f>
        <v>0</v>
      </c>
      <c r="BP74" s="199">
        <f>IFERROR(('B4'!AA117/(VLOOKUP(D5,Currency!$A$2:$D$33,3,FALSE))*100),0)</f>
        <v>0</v>
      </c>
      <c r="BQ74" s="199">
        <f>IFERROR(('B4'!AB117/(VLOOKUP(D5,Currency!$A$2:$D$33,3,FALSE))*100),0)</f>
        <v>0</v>
      </c>
      <c r="BR74" s="181">
        <f t="shared" si="141"/>
        <v>0</v>
      </c>
      <c r="BT74" s="191" t="s">
        <v>0</v>
      </c>
      <c r="BU74" s="119"/>
      <c r="BV74" s="21">
        <f>IFERROR(('B5'!S117/(VLOOKUP(D5,Currency!$A$2:$D$33,3,FALSE))*100),0)</f>
        <v>0</v>
      </c>
      <c r="BW74" s="198">
        <f>IFERROR(('B5'!T117/(VLOOKUP(D5,Currency!$A$2:$D$33,3,FALSE))*100),0)</f>
        <v>0</v>
      </c>
      <c r="BX74" s="198">
        <f>IFERROR(('B5'!U117/(VLOOKUP(D5,Currency!$A$2:$D$33,3,FALSE))*100),0)</f>
        <v>0</v>
      </c>
      <c r="BY74" s="198">
        <f>IFERROR(('B5'!V117/(VLOOKUP(D5,Currency!$A$2:$D$33,3,FALSE))*100),0)</f>
        <v>0</v>
      </c>
      <c r="BZ74" s="198">
        <f>IFERROR(('B5'!W117/(VLOOKUP(D5,Currency!$A$2:$D$33,3,FALSE))*100),0)</f>
        <v>0</v>
      </c>
      <c r="CA74" s="198">
        <f>IFERROR(('B5'!X117/(VLOOKUP(D5,Currency!$A$2:$D$33,3,FALSE))*100),0)</f>
        <v>0</v>
      </c>
      <c r="CB74" s="199">
        <f>IFERROR(('B5'!Y117/(VLOOKUP(D5,Currency!$A$2:$D$33,3,FALSE))*100),0)</f>
        <v>0</v>
      </c>
      <c r="CC74" s="198">
        <f>IFERROR(('B5'!Z117/(VLOOKUP(D5,Currency!$A$2:$D$33,3,FALSE))*100),0)</f>
        <v>0</v>
      </c>
      <c r="CD74" s="199">
        <f>IFERROR(('B5'!AA117/(VLOOKUP(D5,Currency!$A$2:$D$33,3,FALSE))*100),0)</f>
        <v>0</v>
      </c>
      <c r="CE74" s="199">
        <f>IFERROR(('B5'!AB117/(VLOOKUP(D5,Currency!$A$2:$D$33,3,FALSE))*100),0)</f>
        <v>0</v>
      </c>
      <c r="CF74" s="181">
        <f t="shared" si="142"/>
        <v>0</v>
      </c>
    </row>
    <row r="75" spans="2:84" x14ac:dyDescent="0.2">
      <c r="B75" s="192" t="s">
        <v>103</v>
      </c>
      <c r="C75" s="119"/>
      <c r="D75" s="21">
        <f>IFERROR((Total!D68/(VLOOKUP(D5,Currency!$A$2:$D$33,3,FALSE))*100),0)</f>
        <v>0</v>
      </c>
      <c r="E75" s="21">
        <f>IFERROR((Total!E68/(VLOOKUP(D5,Currency!$A$2:$D$33,3,FALSE))*100),0)</f>
        <v>0</v>
      </c>
      <c r="F75" s="21">
        <f>IFERROR((Total!F68/(VLOOKUP(D5,Currency!$A$2:$D$33,3,FALSE))*100),0)</f>
        <v>0</v>
      </c>
      <c r="G75" s="21">
        <f>IFERROR((Total!G68/(VLOOKUP(D5,Currency!$A$2:$D$33,3,FALSE))*100),0)</f>
        <v>0</v>
      </c>
      <c r="H75" s="21">
        <f>IFERROR((Total!H68/(VLOOKUP(D5,Currency!$A$2:$D$33,3,FALSE))*100),0)</f>
        <v>0</v>
      </c>
      <c r="I75" s="21">
        <f>IFERROR((Total!I68/(VLOOKUP(D5,Currency!$A$2:$D$33,3,FALSE))*100),0)</f>
        <v>0</v>
      </c>
      <c r="J75" s="119">
        <f>IFERROR((Total!J68/(VLOOKUP(D5,Currency!$A$2:$D$33,3,FALSE))*100),0)</f>
        <v>0</v>
      </c>
      <c r="K75" s="21">
        <f>IFERROR((Total!K68/(VLOOKUP(D5,Currency!$A$2:$D$33,3,FALSE))*100),0)</f>
        <v>0</v>
      </c>
      <c r="L75" s="119">
        <f>IFERROR((Total!L68/(VLOOKUP(D5,Currency!$A$2:$D$33,3,FALSE))*100),0)</f>
        <v>0</v>
      </c>
      <c r="M75" s="119">
        <f>IFERROR((Total!M68/(VLOOKUP(D5,Currency!$A$2:$D$33,3,FALSE))*100),0)</f>
        <v>0</v>
      </c>
      <c r="N75" s="181">
        <f t="shared" si="137"/>
        <v>0</v>
      </c>
      <c r="P75" s="192" t="s">
        <v>96</v>
      </c>
      <c r="Q75" s="119"/>
      <c r="R75" s="21">
        <f>IFERROR(('B1'!S118/(VLOOKUP(D5,Currency!$A$2:$D$33,3,FALSE))*100),0)</f>
        <v>0</v>
      </c>
      <c r="S75" s="21">
        <f>IFERROR(('B1'!T118/(VLOOKUP(D5,Currency!$A$2:$D$33,3,FALSE))*100),0)</f>
        <v>0</v>
      </c>
      <c r="T75" s="21">
        <f>IFERROR(('B1'!U118/(VLOOKUP(D5,Currency!$A$2:$D$33,3,FALSE))*100),0)</f>
        <v>0</v>
      </c>
      <c r="U75" s="21">
        <f>IFERROR(('B1'!V118/(VLOOKUP(D5,Currency!$A$2:$D$33,3,FALSE))*100),0)</f>
        <v>0</v>
      </c>
      <c r="V75" s="21">
        <f>IFERROR(('B1'!W118/(VLOOKUP(D5,Currency!$A$2:$D$33,3,FALSE))*100),0)</f>
        <v>0</v>
      </c>
      <c r="W75" s="21">
        <f>IFERROR(('B1'!X118/(VLOOKUP(D5,Currency!$A$2:$D$33,3,FALSE))*100),0)</f>
        <v>0</v>
      </c>
      <c r="X75" s="119">
        <f>IFERROR(('B1'!Y118/(VLOOKUP(D5,Currency!$A$2:$D$33,3,FALSE))*100),0)</f>
        <v>0</v>
      </c>
      <c r="Y75" s="21">
        <f>IFERROR(('B1'!Z118/(VLOOKUP(D5,Currency!$A$2:$D$33,3,FALSE))*100),0)</f>
        <v>0</v>
      </c>
      <c r="Z75" s="119">
        <f>IFERROR(('B1'!AA118/(VLOOKUP(D5,Currency!$A$2:$D$33,3,FALSE))*100),0)</f>
        <v>0</v>
      </c>
      <c r="AA75" s="119">
        <f>IFERROR(('B1'!AB118/(VLOOKUP(D5,Currency!$A$2:$D$33,3,FALSE))*100),0)</f>
        <v>0</v>
      </c>
      <c r="AB75" s="181">
        <f t="shared" si="138"/>
        <v>0</v>
      </c>
      <c r="AD75" s="192" t="s">
        <v>96</v>
      </c>
      <c r="AE75" s="119"/>
      <c r="AF75" s="21">
        <f>IFERROR(('B2'!S118/(VLOOKUP(D5,Currency!$A$2:$D$33,3,FALSE))*100),0)</f>
        <v>0</v>
      </c>
      <c r="AG75" s="21">
        <f>IFERROR(('B2'!T118/(VLOOKUP(D5,Currency!$A$2:$D$33,3,FALSE))*100),0)</f>
        <v>0</v>
      </c>
      <c r="AH75" s="21">
        <f>IFERROR(('B2'!U118/(VLOOKUP(D5,Currency!$A$2:$D$33,3,FALSE))*100),0)</f>
        <v>0</v>
      </c>
      <c r="AI75" s="21">
        <f>IFERROR(('B2'!V118/(VLOOKUP(D5,Currency!$A$2:$D$33,3,FALSE))*100),0)</f>
        <v>0</v>
      </c>
      <c r="AJ75" s="21">
        <f>IFERROR(('B2'!W118/(VLOOKUP(D5,Currency!$A$2:$D$33,3,FALSE))*100),0)</f>
        <v>0</v>
      </c>
      <c r="AK75" s="21">
        <f>IFERROR(('B2'!X118/(VLOOKUP(D5,Currency!$A$2:$D$33,3,FALSE))*100),0)</f>
        <v>0</v>
      </c>
      <c r="AL75" s="119">
        <f>IFERROR(('B2'!Y118/(VLOOKUP(D5,Currency!$A$2:$D$33,3,FALSE))*100),0)</f>
        <v>0</v>
      </c>
      <c r="AM75" s="21">
        <f>IFERROR(('B2'!Z118/(VLOOKUP(D5,Currency!$A$2:$D$33,3,FALSE))*100),0)</f>
        <v>0</v>
      </c>
      <c r="AN75" s="119">
        <f>IFERROR(('B2'!AA118/(VLOOKUP(D5,Currency!$A$2:$D$33,3,FALSE))*100),0)</f>
        <v>0</v>
      </c>
      <c r="AO75" s="119">
        <f>IFERROR(('B2'!AB118/(VLOOKUP(D5,Currency!$A$2:$D$33,3,FALSE))*100),0)</f>
        <v>0</v>
      </c>
      <c r="AP75" s="181">
        <f t="shared" si="139"/>
        <v>0</v>
      </c>
      <c r="AR75" s="192" t="s">
        <v>96</v>
      </c>
      <c r="AS75" s="119"/>
      <c r="AT75" s="21">
        <f>IFERROR(('B3'!S118/(VLOOKUP(D5,Currency!$A$2:$D$33,3,FALSE))*100),0)</f>
        <v>0</v>
      </c>
      <c r="AU75" s="21">
        <f>IFERROR(('B3'!T118/(VLOOKUP(D5,Currency!$A$2:$D$33,3,FALSE))*100),0)</f>
        <v>0</v>
      </c>
      <c r="AV75" s="21">
        <f>IFERROR(('B3'!U118/(VLOOKUP(D5,Currency!$A$2:$D$33,3,FALSE))*100),0)</f>
        <v>0</v>
      </c>
      <c r="AW75" s="21">
        <f>IFERROR(('B3'!V118/(VLOOKUP(D5,Currency!$A$2:$D$33,3,FALSE))*100),0)</f>
        <v>0</v>
      </c>
      <c r="AX75" s="21">
        <f>IFERROR(('B3'!W118/(VLOOKUP(D5,Currency!$A$2:$D$33,3,FALSE))*100),0)</f>
        <v>0</v>
      </c>
      <c r="AY75" s="21">
        <f>IFERROR(('B3'!X118/(VLOOKUP(D5,Currency!$A$2:$D$33,3,FALSE))*100),0)</f>
        <v>0</v>
      </c>
      <c r="AZ75" s="119">
        <f>IFERROR(('B3'!Y118/(VLOOKUP(D5,Currency!$A$2:$D$33,3,FALSE))*100),0)</f>
        <v>0</v>
      </c>
      <c r="BA75" s="21">
        <f>IFERROR(('B3'!Z118/(VLOOKUP(D5,Currency!$A$2:$D$33,3,FALSE))*100),0)</f>
        <v>0</v>
      </c>
      <c r="BB75" s="119">
        <f>IFERROR(('B3'!AA118/(VLOOKUP(D5,Currency!$A$2:$D$33,3,FALSE))*100),0)</f>
        <v>0</v>
      </c>
      <c r="BC75" s="119">
        <f>IFERROR(('B3'!AB118/(VLOOKUP(D5,Currency!$A$2:$D$33,3,FALSE))*100),0)</f>
        <v>0</v>
      </c>
      <c r="BD75" s="181">
        <f t="shared" si="140"/>
        <v>0</v>
      </c>
      <c r="BF75" s="192" t="s">
        <v>96</v>
      </c>
      <c r="BG75" s="119"/>
      <c r="BH75" s="21">
        <f>IFERROR(('B4'!S118/(VLOOKUP(D5,Currency!$A$2:$D$33,3,FALSE))*100),0)</f>
        <v>0</v>
      </c>
      <c r="BI75" s="21">
        <f>IFERROR(('B4'!T118/(VLOOKUP(D5,Currency!$A$2:$D$33,3,FALSE))*100),0)</f>
        <v>0</v>
      </c>
      <c r="BJ75" s="21">
        <f>IFERROR(('B4'!U118/(VLOOKUP(D5,Currency!$A$2:$D$33,3,FALSE))*100),0)</f>
        <v>0</v>
      </c>
      <c r="BK75" s="21">
        <f>IFERROR(('B4'!V118/(VLOOKUP(D5,Currency!$A$2:$D$33,3,FALSE))*100),0)</f>
        <v>0</v>
      </c>
      <c r="BL75" s="21">
        <f>IFERROR(('B4'!W118/(VLOOKUP(D5,Currency!$A$2:$D$33,3,FALSE))*100),0)</f>
        <v>0</v>
      </c>
      <c r="BM75" s="21">
        <f>IFERROR(('B4'!X118/(VLOOKUP(D5,Currency!$A$2:$D$33,3,FALSE))*100),0)</f>
        <v>0</v>
      </c>
      <c r="BN75" s="119">
        <f>IFERROR(('B4'!Y118/(VLOOKUP(D5,Currency!$A$2:$D$33,3,FALSE))*100),0)</f>
        <v>0</v>
      </c>
      <c r="BO75" s="21">
        <f>IFERROR(('B4'!Z118/(VLOOKUP(D5,Currency!$A$2:$D$33,3,FALSE))*100),0)</f>
        <v>0</v>
      </c>
      <c r="BP75" s="119">
        <f>IFERROR(('B4'!AA118/(VLOOKUP(D5,Currency!$A$2:$D$33,3,FALSE))*100),0)</f>
        <v>0</v>
      </c>
      <c r="BQ75" s="119">
        <f>IFERROR(('B4'!AB118/(VLOOKUP(D5,Currency!$A$2:$D$33,3,FALSE))*100),0)</f>
        <v>0</v>
      </c>
      <c r="BR75" s="181">
        <f t="shared" si="141"/>
        <v>0</v>
      </c>
      <c r="BT75" s="192" t="s">
        <v>96</v>
      </c>
      <c r="BU75" s="119"/>
      <c r="BV75" s="21">
        <f>IFERROR(('B5'!S118/(VLOOKUP(D5,Currency!$A$2:$D$33,3,FALSE))*100),0)</f>
        <v>0</v>
      </c>
      <c r="BW75" s="21">
        <f>IFERROR(('B5'!T118/(VLOOKUP(D5,Currency!$A$2:$D$33,3,FALSE))*100),0)</f>
        <v>0</v>
      </c>
      <c r="BX75" s="21">
        <f>IFERROR(('B5'!U118/(VLOOKUP(D5,Currency!$A$2:$D$33,3,FALSE))*100),0)</f>
        <v>0</v>
      </c>
      <c r="BY75" s="21">
        <f>IFERROR(('B5'!V118/(VLOOKUP(D5,Currency!$A$2:$D$33,3,FALSE))*100),0)</f>
        <v>0</v>
      </c>
      <c r="BZ75" s="21">
        <f>IFERROR(('B5'!W118/(VLOOKUP(D5,Currency!$A$2:$D$33,3,FALSE))*100),0)</f>
        <v>0</v>
      </c>
      <c r="CA75" s="21">
        <f>IFERROR(('B5'!X118/(VLOOKUP(D5,Currency!$A$2:$D$33,3,FALSE))*100),0)</f>
        <v>0</v>
      </c>
      <c r="CB75" s="119">
        <f>IFERROR(('B5'!Y118/(VLOOKUP(D5,Currency!$A$2:$D$33,3,FALSE))*100),0)</f>
        <v>0</v>
      </c>
      <c r="CC75" s="21">
        <f>IFERROR(('B5'!Z118/(VLOOKUP(D5,Currency!$A$2:$D$33,3,FALSE))*100),0)</f>
        <v>0</v>
      </c>
      <c r="CD75" s="119">
        <f>IFERROR(('B5'!AA118/(VLOOKUP(D5,Currency!$A$2:$D$33,3,FALSE))*100),0)</f>
        <v>0</v>
      </c>
      <c r="CE75" s="119">
        <f>IFERROR(('B5'!AB118/(VLOOKUP(D5,Currency!$A$2:$D$33,3,FALSE))*100),0)</f>
        <v>0</v>
      </c>
      <c r="CF75" s="181">
        <f t="shared" si="142"/>
        <v>0</v>
      </c>
    </row>
    <row r="76" spans="2:84" x14ac:dyDescent="0.2">
      <c r="B76" s="192" t="s">
        <v>108</v>
      </c>
      <c r="C76" s="119"/>
      <c r="D76" s="21">
        <f>IFERROR((Total!D69/(VLOOKUP(D5,Currency!$A$2:$D$33,3,FALSE))*100),0)</f>
        <v>0</v>
      </c>
      <c r="E76" s="21">
        <f>IFERROR((Total!E69/(VLOOKUP(D5,Currency!$A$2:$D$33,3,FALSE))*100),0)</f>
        <v>0</v>
      </c>
      <c r="F76" s="21">
        <f>IFERROR((Total!F69/(VLOOKUP(D5,Currency!$A$2:$D$33,3,FALSE))*100),0)</f>
        <v>0</v>
      </c>
      <c r="G76" s="21">
        <f>IFERROR((Total!G69/(VLOOKUP(D5,Currency!$A$2:$D$33,3,FALSE))*100),0)</f>
        <v>0</v>
      </c>
      <c r="H76" s="21">
        <f>IFERROR((Total!H69/(VLOOKUP(D5,Currency!$A$2:$D$33,3,FALSE))*100),0)</f>
        <v>0</v>
      </c>
      <c r="I76" s="21">
        <f>IFERROR((Total!I69/(VLOOKUP(D5,Currency!$A$2:$D$33,3,FALSE))*100),0)</f>
        <v>0</v>
      </c>
      <c r="J76" s="21">
        <f>IFERROR((Total!J69/(VLOOKUP(D5,Currency!$A$2:$D$33,3,FALSE))*100),0)</f>
        <v>0</v>
      </c>
      <c r="K76" s="21">
        <f>IFERROR((Total!K69/(VLOOKUP(D5,Currency!$A$2:$D$33,3,FALSE))*100),0)</f>
        <v>0</v>
      </c>
      <c r="L76" s="119">
        <f>IFERROR((Total!L69/(VLOOKUP(D5,Currency!$A$2:$D$33,3,FALSE))*100),0)</f>
        <v>0</v>
      </c>
      <c r="M76" s="119">
        <f>IFERROR((Total!M69/(VLOOKUP(D5,Currency!$A$2:$D$33,3,FALSE))*100),0)</f>
        <v>0</v>
      </c>
      <c r="N76" s="181">
        <f t="shared" si="137"/>
        <v>0</v>
      </c>
      <c r="P76" s="192" t="s">
        <v>108</v>
      </c>
      <c r="Q76" s="119"/>
      <c r="R76" s="21">
        <f>IFERROR(('B1'!S119/(VLOOKUP(D5,Currency!$A$2:$D$33,3,FALSE))*100),0)</f>
        <v>0</v>
      </c>
      <c r="S76" s="21">
        <f>IFERROR(('B1'!T119/(VLOOKUP(D5,Currency!$A$2:$D$33,3,FALSE))*100),0)</f>
        <v>0</v>
      </c>
      <c r="T76" s="21">
        <f>IFERROR(('B1'!U119/(VLOOKUP(D5,Currency!$A$2:$D$33,3,FALSE))*100),0)</f>
        <v>0</v>
      </c>
      <c r="U76" s="21">
        <f>IFERROR(('B1'!V119/(VLOOKUP(D5,Currency!$A$2:$D$33,3,FALSE))*100),0)</f>
        <v>0</v>
      </c>
      <c r="V76" s="21">
        <f>IFERROR(('B1'!W119/(VLOOKUP(D5,Currency!$A$2:$D$33,3,FALSE))*100),0)</f>
        <v>0</v>
      </c>
      <c r="W76" s="21">
        <f>IFERROR(('B1'!X119/(VLOOKUP(D5,Currency!$A$2:$D$33,3,FALSE))*100),0)</f>
        <v>0</v>
      </c>
      <c r="X76" s="21">
        <f>IFERROR(('B1'!Y119/(VLOOKUP(D5,Currency!$A$2:$D$33,3,FALSE))*100),0)</f>
        <v>0</v>
      </c>
      <c r="Y76" s="21">
        <f>IFERROR(('B1'!Z119/(VLOOKUP(D5,Currency!$A$2:$D$33,3,FALSE))*100),0)</f>
        <v>0</v>
      </c>
      <c r="Z76" s="119">
        <f>IFERROR(('B1'!AA119/(VLOOKUP(D5,Currency!$A$2:$D$33,3,FALSE))*100),0)</f>
        <v>0</v>
      </c>
      <c r="AA76" s="119">
        <f>IFERROR(('B1'!AB119/(VLOOKUP(D5,Currency!$A$2:$D$33,3,FALSE))*100),0)</f>
        <v>0</v>
      </c>
      <c r="AB76" s="181">
        <f t="shared" si="138"/>
        <v>0</v>
      </c>
      <c r="AD76" s="192" t="s">
        <v>108</v>
      </c>
      <c r="AE76" s="119"/>
      <c r="AF76" s="21">
        <f>IFERROR(('B2'!S119/(VLOOKUP(D5,Currency!$A$2:$D$33,3,FALSE))*100),0)</f>
        <v>0</v>
      </c>
      <c r="AG76" s="21">
        <f>IFERROR(('B2'!T119/(VLOOKUP(D5,Currency!$A$2:$D$33,3,FALSE))*100),0)</f>
        <v>0</v>
      </c>
      <c r="AH76" s="21">
        <f>IFERROR(('B2'!U119/(VLOOKUP(D5,Currency!$A$2:$D$33,3,FALSE))*100),0)</f>
        <v>0</v>
      </c>
      <c r="AI76" s="21">
        <f>IFERROR(('B2'!V119/(VLOOKUP(D5,Currency!$A$2:$D$33,3,FALSE))*100),0)</f>
        <v>0</v>
      </c>
      <c r="AJ76" s="21">
        <f>IFERROR(('B2'!W119/(VLOOKUP(D5,Currency!$A$2:$D$33,3,FALSE))*100),0)</f>
        <v>0</v>
      </c>
      <c r="AK76" s="21">
        <f>IFERROR(('B2'!X119/(VLOOKUP(D5,Currency!$A$2:$D$33,3,FALSE))*100),0)</f>
        <v>0</v>
      </c>
      <c r="AL76" s="21">
        <f>IFERROR(('B2'!Y119/(VLOOKUP(D5,Currency!$A$2:$D$33,3,FALSE))*100),0)</f>
        <v>0</v>
      </c>
      <c r="AM76" s="21">
        <f>IFERROR(('B2'!Z119/(VLOOKUP(D5,Currency!$A$2:$D$33,3,FALSE))*100),0)</f>
        <v>0</v>
      </c>
      <c r="AN76" s="119">
        <f>IFERROR(('B2'!AA119/(VLOOKUP(D5,Currency!$A$2:$D$33,3,FALSE))*100),0)</f>
        <v>0</v>
      </c>
      <c r="AO76" s="119">
        <f>IFERROR(('B2'!AB119/(VLOOKUP(D5,Currency!$A$2:$D$33,3,FALSE))*100),0)</f>
        <v>0</v>
      </c>
      <c r="AP76" s="181">
        <f t="shared" si="139"/>
        <v>0</v>
      </c>
      <c r="AR76" s="192" t="s">
        <v>108</v>
      </c>
      <c r="AS76" s="119"/>
      <c r="AT76" s="21">
        <f>IFERROR(('B3'!S119/(VLOOKUP(D5,Currency!$A$2:$D$33,3,FALSE))*100),0)</f>
        <v>0</v>
      </c>
      <c r="AU76" s="21">
        <f>IFERROR(('B3'!T119/(VLOOKUP(D5,Currency!$A$2:$D$33,3,FALSE))*100),0)</f>
        <v>0</v>
      </c>
      <c r="AV76" s="21">
        <f>IFERROR(('B3'!U119/(VLOOKUP(D5,Currency!$A$2:$D$33,3,FALSE))*100),0)</f>
        <v>0</v>
      </c>
      <c r="AW76" s="21">
        <f>IFERROR(('B3'!V119/(VLOOKUP(D5,Currency!$A$2:$D$33,3,FALSE))*100),0)</f>
        <v>0</v>
      </c>
      <c r="AX76" s="21">
        <f>IFERROR(('B3'!W119/(VLOOKUP(D5,Currency!$A$2:$D$33,3,FALSE))*100),0)</f>
        <v>0</v>
      </c>
      <c r="AY76" s="21">
        <f>IFERROR(('B3'!X119/(VLOOKUP(D5,Currency!$A$2:$D$33,3,FALSE))*100),0)</f>
        <v>0</v>
      </c>
      <c r="AZ76" s="21">
        <f>IFERROR(('B3'!Y119/(VLOOKUP(D5,Currency!$A$2:$D$33,3,FALSE))*100),0)</f>
        <v>0</v>
      </c>
      <c r="BA76" s="21">
        <f>IFERROR(('B3'!Z119/(VLOOKUP(D5,Currency!$A$2:$D$33,3,FALSE))*100),0)</f>
        <v>0</v>
      </c>
      <c r="BB76" s="119">
        <f>IFERROR(('B3'!AA119/(VLOOKUP(D5,Currency!$A$2:$D$33,3,FALSE))*100),0)</f>
        <v>0</v>
      </c>
      <c r="BC76" s="119">
        <f>IFERROR(('B3'!AB119/(VLOOKUP(D5,Currency!$A$2:$D$33,3,FALSE))*100),0)</f>
        <v>0</v>
      </c>
      <c r="BD76" s="181">
        <f t="shared" si="140"/>
        <v>0</v>
      </c>
      <c r="BF76" s="192" t="s">
        <v>108</v>
      </c>
      <c r="BG76" s="119"/>
      <c r="BH76" s="21">
        <f>IFERROR(('B4'!S119/(VLOOKUP(D5,Currency!$A$2:$D$33,3,FALSE))*100),0)</f>
        <v>0</v>
      </c>
      <c r="BI76" s="21">
        <f>IFERROR(('B4'!T119/(VLOOKUP(D5,Currency!$A$2:$D$33,3,FALSE))*100),0)</f>
        <v>0</v>
      </c>
      <c r="BJ76" s="21">
        <f>IFERROR(('B4'!U119/(VLOOKUP(D5,Currency!$A$2:$D$33,3,FALSE))*100),0)</f>
        <v>0</v>
      </c>
      <c r="BK76" s="21">
        <f>IFERROR(('B4'!V119/(VLOOKUP(D5,Currency!$A$2:$D$33,3,FALSE))*100),0)</f>
        <v>0</v>
      </c>
      <c r="BL76" s="21">
        <f>IFERROR(('B4'!W119/(VLOOKUP(D5,Currency!$A$2:$D$33,3,FALSE))*100),0)</f>
        <v>0</v>
      </c>
      <c r="BM76" s="21">
        <f>IFERROR(('B4'!X119/(VLOOKUP(D5,Currency!$A$2:$D$33,3,FALSE))*100),0)</f>
        <v>0</v>
      </c>
      <c r="BN76" s="21">
        <f>IFERROR(('B4'!Y119/(VLOOKUP(D5,Currency!$A$2:$D$33,3,FALSE))*100),0)</f>
        <v>0</v>
      </c>
      <c r="BO76" s="21">
        <f>IFERROR(('B4'!Z119/(VLOOKUP(D5,Currency!$A$2:$D$33,3,FALSE))*100),0)</f>
        <v>0</v>
      </c>
      <c r="BP76" s="119">
        <f>IFERROR(('B4'!AA119/(VLOOKUP(D5,Currency!$A$2:$D$33,3,FALSE))*100),0)</f>
        <v>0</v>
      </c>
      <c r="BQ76" s="119">
        <f>IFERROR(('B4'!AB119/(VLOOKUP(D5,Currency!$A$2:$D$33,3,FALSE))*100),0)</f>
        <v>0</v>
      </c>
      <c r="BR76" s="181">
        <f t="shared" si="141"/>
        <v>0</v>
      </c>
      <c r="BT76" s="192" t="s">
        <v>108</v>
      </c>
      <c r="BU76" s="119"/>
      <c r="BV76" s="21">
        <f>IFERROR(('B5'!S119/(VLOOKUP(D5,Currency!$A$2:$D$33,3,FALSE))*100),0)</f>
        <v>0</v>
      </c>
      <c r="BW76" s="21">
        <f>IFERROR(('B5'!T119/(VLOOKUP(D5,Currency!$A$2:$D$33,3,FALSE))*100),0)</f>
        <v>0</v>
      </c>
      <c r="BX76" s="21">
        <f>IFERROR(('B5'!U119/(VLOOKUP(D5,Currency!$A$2:$D$33,3,FALSE))*100),0)</f>
        <v>0</v>
      </c>
      <c r="BY76" s="21">
        <f>IFERROR(('B5'!V119/(VLOOKUP(D5,Currency!$A$2:$D$33,3,FALSE))*100),0)</f>
        <v>0</v>
      </c>
      <c r="BZ76" s="21">
        <f>IFERROR(('B5'!W119/(VLOOKUP(D5,Currency!$A$2:$D$33,3,FALSE))*100),0)</f>
        <v>0</v>
      </c>
      <c r="CA76" s="21">
        <f>IFERROR(('B5'!X119/(VLOOKUP(D5,Currency!$A$2:$D$33,3,FALSE))*100),0)</f>
        <v>0</v>
      </c>
      <c r="CB76" s="21">
        <f>IFERROR(('B5'!Y119/(VLOOKUP(D5,Currency!$A$2:$D$33,3,FALSE))*100),0)</f>
        <v>0</v>
      </c>
      <c r="CC76" s="21">
        <f>IFERROR(('B5'!Z119/(VLOOKUP(D5,Currency!$A$2:$D$33,3,FALSE))*100),0)</f>
        <v>0</v>
      </c>
      <c r="CD76" s="119">
        <f>IFERROR(('B5'!AA119/(VLOOKUP(D5,Currency!$A$2:$D$33,3,FALSE))*100),0)</f>
        <v>0</v>
      </c>
      <c r="CE76" s="119">
        <f>IFERROR(('B5'!AB119/(VLOOKUP(D5,Currency!$A$2:$D$33,3,FALSE))*100),0)</f>
        <v>0</v>
      </c>
      <c r="CF76" s="181">
        <f t="shared" si="142"/>
        <v>0</v>
      </c>
    </row>
    <row r="77" spans="2:84" x14ac:dyDescent="0.2">
      <c r="B77" s="191" t="s">
        <v>545</v>
      </c>
      <c r="C77" s="119"/>
      <c r="D77" s="21">
        <f>IFERROR((Total!D70/(VLOOKUP(D5,Currency!$A$2:$D$33,3,FALSE))*100),0)</f>
        <v>0</v>
      </c>
      <c r="E77" s="21">
        <f>IFERROR((Total!E70/(VLOOKUP(D5,Currency!$A$2:$D$33,3,FALSE))*100),0)</f>
        <v>0</v>
      </c>
      <c r="F77" s="21">
        <f>IFERROR((Total!F70/(VLOOKUP(D5,Currency!$A$2:$D$33,3,FALSE))*100),0)</f>
        <v>0</v>
      </c>
      <c r="G77" s="21">
        <f>IFERROR((Total!G70/(VLOOKUP(D5,Currency!$A$2:$D$33,3,FALSE))*100),0)</f>
        <v>0</v>
      </c>
      <c r="H77" s="21">
        <f>IFERROR((Total!H70/(VLOOKUP(D5,Currency!$A$2:$D$33,3,FALSE))*100),0)</f>
        <v>0</v>
      </c>
      <c r="I77" s="21">
        <f>IFERROR((Total!I70/(VLOOKUP(D5,Currency!$A$2:$D$33,3,FALSE))*100),0)</f>
        <v>0</v>
      </c>
      <c r="J77" s="21">
        <f>IFERROR((Total!J70/(VLOOKUP(D5,Currency!$A$2:$D$33,3,FALSE))*100),0)</f>
        <v>0</v>
      </c>
      <c r="K77" s="21">
        <f>IFERROR((Total!K70/(VLOOKUP(D5,Currency!$A$2:$D$33,3,FALSE))*100),0)</f>
        <v>0</v>
      </c>
      <c r="L77" s="119">
        <f>IFERROR((Total!L70/(VLOOKUP(D5,Currency!$A$2:$D$33,3,FALSE))*100),0)</f>
        <v>0</v>
      </c>
      <c r="M77" s="119">
        <f>IFERROR((Total!M70/(VLOOKUP(D5,Currency!$A$2:$D$33,3,FALSE))*100),0)</f>
        <v>0</v>
      </c>
      <c r="N77" s="181">
        <f t="shared" si="137"/>
        <v>0</v>
      </c>
      <c r="P77" s="191" t="s">
        <v>545</v>
      </c>
      <c r="Q77" s="119"/>
      <c r="R77" s="21">
        <f>IFERROR(('B1'!S120/(VLOOKUP(D5,Currency!$A$2:$D$33,3,FALSE))*100),0)</f>
        <v>0</v>
      </c>
      <c r="S77" s="21">
        <f>IFERROR(('B1'!T120/(VLOOKUP(D5,Currency!$A$2:$D$33,3,FALSE))*100),0)</f>
        <v>0</v>
      </c>
      <c r="T77" s="21">
        <f>IFERROR(('B1'!U120/(VLOOKUP(D5,Currency!$A$2:$D$33,3,FALSE))*100),0)</f>
        <v>0</v>
      </c>
      <c r="U77" s="21">
        <f>IFERROR(('B1'!V120/(VLOOKUP(D5,Currency!$A$2:$D$33,3,FALSE))*100),0)</f>
        <v>0</v>
      </c>
      <c r="V77" s="21">
        <f>IFERROR(('B1'!W120/(VLOOKUP(D5,Currency!$A$2:$D$33,3,FALSE))*100),0)</f>
        <v>0</v>
      </c>
      <c r="W77" s="21">
        <f>IFERROR(('B1'!X120/(VLOOKUP(D5,Currency!$A$2:$D$33,3,FALSE))*100),0)</f>
        <v>0</v>
      </c>
      <c r="X77" s="21">
        <f>IFERROR(('B1'!Y120/(VLOOKUP(D5,Currency!$A$2:$D$33,3,FALSE))*100),0)</f>
        <v>0</v>
      </c>
      <c r="Y77" s="21">
        <f>IFERROR(('B1'!Z120/(VLOOKUP(D5,Currency!$A$2:$D$33,3,FALSE))*100),0)</f>
        <v>0</v>
      </c>
      <c r="Z77" s="119">
        <f>IFERROR(('B1'!AA120/(VLOOKUP(D5,Currency!$A$2:$D$33,3,FALSE))*100),0)</f>
        <v>0</v>
      </c>
      <c r="AA77" s="119">
        <f>IFERROR(('B1'!AB120/(VLOOKUP(D5,Currency!$A$2:$D$33,3,FALSE))*100),0)</f>
        <v>0</v>
      </c>
      <c r="AB77" s="181">
        <f t="shared" si="138"/>
        <v>0</v>
      </c>
      <c r="AD77" s="191" t="s">
        <v>545</v>
      </c>
      <c r="AE77" s="119"/>
      <c r="AF77" s="21">
        <f>IFERROR(('B2'!S120/(VLOOKUP(D5,Currency!$A$2:$D$33,3,FALSE))*100),0)</f>
        <v>0</v>
      </c>
      <c r="AG77" s="21">
        <f>IFERROR(('B2'!T120/(VLOOKUP(D5,Currency!$A$2:$D$33,3,FALSE))*100),0)</f>
        <v>0</v>
      </c>
      <c r="AH77" s="21">
        <f>IFERROR(('B2'!U120/(VLOOKUP(D5,Currency!$A$2:$D$33,3,FALSE))*100),0)</f>
        <v>0</v>
      </c>
      <c r="AI77" s="21">
        <f>IFERROR(('B2'!V120/(VLOOKUP(D5,Currency!$A$2:$D$33,3,FALSE))*100),0)</f>
        <v>0</v>
      </c>
      <c r="AJ77" s="21">
        <f>IFERROR(('B2'!W120/(VLOOKUP(D5,Currency!$A$2:$D$33,3,FALSE))*100),0)</f>
        <v>0</v>
      </c>
      <c r="AK77" s="21">
        <f>IFERROR(('B2'!X120/(VLOOKUP(D5,Currency!$A$2:$D$33,3,FALSE))*100),0)</f>
        <v>0</v>
      </c>
      <c r="AL77" s="21">
        <f>IFERROR(('B2'!Y120/(VLOOKUP(D5,Currency!$A$2:$D$33,3,FALSE))*100),0)</f>
        <v>0</v>
      </c>
      <c r="AM77" s="21">
        <f>IFERROR(('B2'!Z120/(VLOOKUP(D5,Currency!$A$2:$D$33,3,FALSE))*100),0)</f>
        <v>0</v>
      </c>
      <c r="AN77" s="119">
        <f>IFERROR(('B2'!AA120/(VLOOKUP(D5,Currency!$A$2:$D$33,3,FALSE))*100),0)</f>
        <v>0</v>
      </c>
      <c r="AO77" s="119">
        <f>IFERROR(('B2'!AB120/(VLOOKUP(D5,Currency!$A$2:$D$33,3,FALSE))*100),0)</f>
        <v>0</v>
      </c>
      <c r="AP77" s="181">
        <f t="shared" si="139"/>
        <v>0</v>
      </c>
      <c r="AR77" s="191" t="s">
        <v>545</v>
      </c>
      <c r="AS77" s="119"/>
      <c r="AT77" s="21">
        <f>IFERROR(('B3'!S120/(VLOOKUP(D5,Currency!$A$2:$D$33,3,FALSE))*100),0)</f>
        <v>0</v>
      </c>
      <c r="AU77" s="21">
        <f>IFERROR(('B3'!T120/(VLOOKUP(D5,Currency!$A$2:$D$33,3,FALSE))*100),0)</f>
        <v>0</v>
      </c>
      <c r="AV77" s="21">
        <f>IFERROR(('B3'!U120/(VLOOKUP(D5,Currency!$A$2:$D$33,3,FALSE))*100),0)</f>
        <v>0</v>
      </c>
      <c r="AW77" s="21">
        <f>IFERROR(('B3'!V120/(VLOOKUP(D5,Currency!$A$2:$D$33,3,FALSE))*100),0)</f>
        <v>0</v>
      </c>
      <c r="AX77" s="21">
        <f>IFERROR(('B3'!W120/(VLOOKUP(D5,Currency!$A$2:$D$33,3,FALSE))*100),0)</f>
        <v>0</v>
      </c>
      <c r="AY77" s="21">
        <f>IFERROR(('B3'!X120/(VLOOKUP(D5,Currency!$A$2:$D$33,3,FALSE))*100),0)</f>
        <v>0</v>
      </c>
      <c r="AZ77" s="21">
        <f>IFERROR(('B3'!Y120/(VLOOKUP(D5,Currency!$A$2:$D$33,3,FALSE))*100),0)</f>
        <v>0</v>
      </c>
      <c r="BA77" s="21">
        <f>IFERROR(('B3'!Z120/(VLOOKUP(D5,Currency!$A$2:$D$33,3,FALSE))*100),0)</f>
        <v>0</v>
      </c>
      <c r="BB77" s="119">
        <f>IFERROR(('B3'!AA120/(VLOOKUP(D5,Currency!$A$2:$D$33,3,FALSE))*100),0)</f>
        <v>0</v>
      </c>
      <c r="BC77" s="119">
        <f>IFERROR(('B3'!AB120/(VLOOKUP(D5,Currency!$A$2:$D$33,3,FALSE))*100),0)</f>
        <v>0</v>
      </c>
      <c r="BD77" s="181">
        <f t="shared" si="140"/>
        <v>0</v>
      </c>
      <c r="BF77" s="191" t="s">
        <v>545</v>
      </c>
      <c r="BG77" s="119"/>
      <c r="BH77" s="21">
        <f>IFERROR(('B4'!S120/(VLOOKUP(D5,Currency!$A$2:$D$33,3,FALSE))*100),0)</f>
        <v>0</v>
      </c>
      <c r="BI77" s="21">
        <f>IFERROR(('B4'!T120/(VLOOKUP(D5,Currency!$A$2:$D$33,3,FALSE))*100),0)</f>
        <v>0</v>
      </c>
      <c r="BJ77" s="21">
        <f>IFERROR(('B4'!U120/(VLOOKUP(D5,Currency!$A$2:$D$33,3,FALSE))*100),0)</f>
        <v>0</v>
      </c>
      <c r="BK77" s="21">
        <f>IFERROR(('B4'!V120/(VLOOKUP(D5,Currency!$A$2:$D$33,3,FALSE))*100),0)</f>
        <v>0</v>
      </c>
      <c r="BL77" s="21">
        <f>IFERROR(('B4'!W120/(VLOOKUP(D5,Currency!$A$2:$D$33,3,FALSE))*100),0)</f>
        <v>0</v>
      </c>
      <c r="BM77" s="21">
        <f>IFERROR(('B4'!X120/(VLOOKUP(D5,Currency!$A$2:$D$33,3,FALSE))*100),0)</f>
        <v>0</v>
      </c>
      <c r="BN77" s="21">
        <f>IFERROR(('B4'!Y120/(VLOOKUP(D5,Currency!$A$2:$D$33,3,FALSE))*100),0)</f>
        <v>0</v>
      </c>
      <c r="BO77" s="21">
        <f>IFERROR(('B4'!Z120/(VLOOKUP(D5,Currency!$A$2:$D$33,3,FALSE))*100),0)</f>
        <v>0</v>
      </c>
      <c r="BP77" s="119">
        <f>IFERROR(('B4'!AA120/(VLOOKUP(D5,Currency!$A$2:$D$33,3,FALSE))*100),0)</f>
        <v>0</v>
      </c>
      <c r="BQ77" s="119">
        <f>IFERROR(('B4'!AB120/(VLOOKUP(D5,Currency!$A$2:$D$33,3,FALSE))*100),0)</f>
        <v>0</v>
      </c>
      <c r="BR77" s="181">
        <f t="shared" si="141"/>
        <v>0</v>
      </c>
      <c r="BT77" s="191" t="s">
        <v>545</v>
      </c>
      <c r="BU77" s="119"/>
      <c r="BV77" s="21">
        <f>IFERROR(('B5'!S120/(VLOOKUP(D5,Currency!$A$2:$D$33,3,FALSE))*100),0)</f>
        <v>0</v>
      </c>
      <c r="BW77" s="21">
        <f>IFERROR(('B5'!T120/(VLOOKUP(D5,Currency!$A$2:$D$33,3,FALSE))*100),0)</f>
        <v>0</v>
      </c>
      <c r="BX77" s="21">
        <f>IFERROR(('B5'!U120/(VLOOKUP(D5,Currency!$A$2:$D$33,3,FALSE))*100),0)</f>
        <v>0</v>
      </c>
      <c r="BY77" s="21">
        <f>IFERROR(('B5'!V120/(VLOOKUP(D5,Currency!$A$2:$D$33,3,FALSE))*100),0)</f>
        <v>0</v>
      </c>
      <c r="BZ77" s="21">
        <f>IFERROR(('B5'!W120/(VLOOKUP(D5,Currency!$A$2:$D$33,3,FALSE))*100),0)</f>
        <v>0</v>
      </c>
      <c r="CA77" s="21">
        <f>IFERROR(('B5'!X120/(VLOOKUP(D5,Currency!$A$2:$D$33,3,FALSE))*100),0)</f>
        <v>0</v>
      </c>
      <c r="CB77" s="21">
        <f>IFERROR(('B5'!Y120/(VLOOKUP(D5,Currency!$A$2:$D$33,3,FALSE))*100),0)</f>
        <v>0</v>
      </c>
      <c r="CC77" s="21">
        <f>IFERROR(('B5'!Z120/(VLOOKUP(D5,Currency!$A$2:$D$33,3,FALSE))*100),0)</f>
        <v>0</v>
      </c>
      <c r="CD77" s="119">
        <f>IFERROR(('B5'!AA120/(VLOOKUP(D5,Currency!$A$2:$D$33,3,FALSE))*100),0)</f>
        <v>0</v>
      </c>
      <c r="CE77" s="119">
        <f>IFERROR(('B5'!AB120/(VLOOKUP(D5,Currency!$A$2:$D$33,3,FALSE))*100),0)</f>
        <v>0</v>
      </c>
      <c r="CF77" s="181">
        <f t="shared" si="142"/>
        <v>0</v>
      </c>
    </row>
    <row r="78" spans="2:84" ht="15" thickBot="1" x14ac:dyDescent="0.25">
      <c r="B78" s="193" t="s">
        <v>101</v>
      </c>
      <c r="C78" s="194"/>
      <c r="D78" s="152">
        <f>+SUM(D73:D77)</f>
        <v>0</v>
      </c>
      <c r="E78" s="152">
        <f t="shared" ref="E78:K78" si="143">+SUM(E73:E77)</f>
        <v>0</v>
      </c>
      <c r="F78" s="152">
        <f t="shared" si="143"/>
        <v>0</v>
      </c>
      <c r="G78" s="152">
        <f t="shared" si="143"/>
        <v>0</v>
      </c>
      <c r="H78" s="152">
        <f t="shared" si="143"/>
        <v>0</v>
      </c>
      <c r="I78" s="152">
        <f t="shared" si="143"/>
        <v>0</v>
      </c>
      <c r="J78" s="152">
        <f t="shared" si="143"/>
        <v>0</v>
      </c>
      <c r="K78" s="152">
        <f t="shared" si="143"/>
        <v>0</v>
      </c>
      <c r="L78" s="194">
        <f t="shared" ref="L78:M78" si="144">+SUM(L73:L77)</f>
        <v>0</v>
      </c>
      <c r="M78" s="194">
        <f t="shared" si="144"/>
        <v>0</v>
      </c>
      <c r="N78" s="182">
        <f t="shared" si="137"/>
        <v>0</v>
      </c>
      <c r="P78" s="193" t="s">
        <v>101</v>
      </c>
      <c r="Q78" s="194"/>
      <c r="R78" s="152">
        <f>+SUM(R73:R77)</f>
        <v>0</v>
      </c>
      <c r="S78" s="152">
        <f t="shared" ref="S78:Y78" si="145">+SUM(S73:S77)</f>
        <v>0</v>
      </c>
      <c r="T78" s="152">
        <f t="shared" si="145"/>
        <v>0</v>
      </c>
      <c r="U78" s="152">
        <f t="shared" si="145"/>
        <v>0</v>
      </c>
      <c r="V78" s="152">
        <f t="shared" si="145"/>
        <v>0</v>
      </c>
      <c r="W78" s="152">
        <f t="shared" si="145"/>
        <v>0</v>
      </c>
      <c r="X78" s="152">
        <f t="shared" si="145"/>
        <v>0</v>
      </c>
      <c r="Y78" s="152">
        <f t="shared" si="145"/>
        <v>0</v>
      </c>
      <c r="Z78" s="194">
        <f t="shared" ref="Z78:AA78" si="146">+SUM(Z73:Z77)</f>
        <v>0</v>
      </c>
      <c r="AA78" s="194">
        <f t="shared" si="146"/>
        <v>0</v>
      </c>
      <c r="AB78" s="182">
        <f t="shared" si="138"/>
        <v>0</v>
      </c>
      <c r="AD78" s="193" t="s">
        <v>101</v>
      </c>
      <c r="AE78" s="194"/>
      <c r="AF78" s="152">
        <f>+SUM(AF73:AF77)</f>
        <v>0</v>
      </c>
      <c r="AG78" s="152">
        <f t="shared" ref="AG78:AM78" si="147">+SUM(AG73:AG77)</f>
        <v>0</v>
      </c>
      <c r="AH78" s="152">
        <f t="shared" si="147"/>
        <v>0</v>
      </c>
      <c r="AI78" s="152">
        <f t="shared" si="147"/>
        <v>0</v>
      </c>
      <c r="AJ78" s="152">
        <f t="shared" si="147"/>
        <v>0</v>
      </c>
      <c r="AK78" s="152">
        <f t="shared" si="147"/>
        <v>0</v>
      </c>
      <c r="AL78" s="152">
        <f t="shared" si="147"/>
        <v>0</v>
      </c>
      <c r="AM78" s="152">
        <f t="shared" si="147"/>
        <v>0</v>
      </c>
      <c r="AN78" s="194">
        <f t="shared" ref="AN78:AO78" si="148">+SUM(AN73:AN77)</f>
        <v>0</v>
      </c>
      <c r="AO78" s="194">
        <f t="shared" si="148"/>
        <v>0</v>
      </c>
      <c r="AP78" s="182">
        <f t="shared" si="139"/>
        <v>0</v>
      </c>
      <c r="AR78" s="193" t="s">
        <v>101</v>
      </c>
      <c r="AS78" s="194"/>
      <c r="AT78" s="152">
        <f>+SUM(AT73:AT77)</f>
        <v>0</v>
      </c>
      <c r="AU78" s="152">
        <f t="shared" ref="AU78:BA78" si="149">+SUM(AU73:AU77)</f>
        <v>0</v>
      </c>
      <c r="AV78" s="152">
        <f t="shared" si="149"/>
        <v>0</v>
      </c>
      <c r="AW78" s="152">
        <f t="shared" si="149"/>
        <v>0</v>
      </c>
      <c r="AX78" s="152">
        <f t="shared" si="149"/>
        <v>0</v>
      </c>
      <c r="AY78" s="152">
        <f t="shared" si="149"/>
        <v>0</v>
      </c>
      <c r="AZ78" s="152">
        <f t="shared" si="149"/>
        <v>0</v>
      </c>
      <c r="BA78" s="152">
        <f t="shared" si="149"/>
        <v>0</v>
      </c>
      <c r="BB78" s="194">
        <f t="shared" ref="BB78:BC78" si="150">+SUM(BB73:BB77)</f>
        <v>0</v>
      </c>
      <c r="BC78" s="194">
        <f t="shared" si="150"/>
        <v>0</v>
      </c>
      <c r="BD78" s="182">
        <f t="shared" si="140"/>
        <v>0</v>
      </c>
      <c r="BF78" s="193" t="s">
        <v>101</v>
      </c>
      <c r="BG78" s="194"/>
      <c r="BH78" s="152">
        <f>+SUM(BH73:BH77)</f>
        <v>0</v>
      </c>
      <c r="BI78" s="152">
        <f t="shared" ref="BI78:BO78" si="151">+SUM(BI73:BI77)</f>
        <v>0</v>
      </c>
      <c r="BJ78" s="152">
        <f t="shared" si="151"/>
        <v>0</v>
      </c>
      <c r="BK78" s="152">
        <f t="shared" si="151"/>
        <v>0</v>
      </c>
      <c r="BL78" s="152">
        <f t="shared" si="151"/>
        <v>0</v>
      </c>
      <c r="BM78" s="152">
        <f t="shared" si="151"/>
        <v>0</v>
      </c>
      <c r="BN78" s="152">
        <f t="shared" si="151"/>
        <v>0</v>
      </c>
      <c r="BO78" s="152">
        <f t="shared" si="151"/>
        <v>0</v>
      </c>
      <c r="BP78" s="194">
        <f t="shared" ref="BP78:BQ78" si="152">+SUM(BP73:BP77)</f>
        <v>0</v>
      </c>
      <c r="BQ78" s="194">
        <f t="shared" si="152"/>
        <v>0</v>
      </c>
      <c r="BR78" s="182">
        <f t="shared" si="141"/>
        <v>0</v>
      </c>
      <c r="BT78" s="193" t="s">
        <v>101</v>
      </c>
      <c r="BU78" s="194"/>
      <c r="BV78" s="152">
        <f>+SUM(BV73:BV77)</f>
        <v>0</v>
      </c>
      <c r="BW78" s="152">
        <f t="shared" ref="BW78:CC78" si="153">+SUM(BW73:BW77)</f>
        <v>0</v>
      </c>
      <c r="BX78" s="152">
        <f t="shared" si="153"/>
        <v>0</v>
      </c>
      <c r="BY78" s="152">
        <f t="shared" si="153"/>
        <v>0</v>
      </c>
      <c r="BZ78" s="152">
        <f t="shared" si="153"/>
        <v>0</v>
      </c>
      <c r="CA78" s="152">
        <f t="shared" si="153"/>
        <v>0</v>
      </c>
      <c r="CB78" s="152">
        <f t="shared" si="153"/>
        <v>0</v>
      </c>
      <c r="CC78" s="152">
        <f t="shared" si="153"/>
        <v>0</v>
      </c>
      <c r="CD78" s="194">
        <f t="shared" ref="CD78:CE78" si="154">+SUM(CD73:CD77)</f>
        <v>0</v>
      </c>
      <c r="CE78" s="194">
        <f t="shared" si="154"/>
        <v>0</v>
      </c>
      <c r="CF78" s="182">
        <f t="shared" si="142"/>
        <v>0</v>
      </c>
    </row>
  </sheetData>
  <sheetProtection algorithmName="SHA-512" hashValue="SZ2G4TrHJE9zmpDArEYsttVaG5DORg1ZFkKFHrByETGom+gW6WQ3Vi1U7l67OCxyB+y0jO45LHaP5Ll1W8QekQ==" saltValue="q/jJJK0xl+3x/UH5NphobA==" spinCount="100000" sheet="1" objects="1" scenarios="1"/>
  <mergeCells count="6">
    <mergeCell ref="BT9:CF9"/>
    <mergeCell ref="B9:N9"/>
    <mergeCell ref="P9:AB9"/>
    <mergeCell ref="AD9:AP9"/>
    <mergeCell ref="AR9:BD9"/>
    <mergeCell ref="BF9:BR9"/>
  </mergeCells>
  <pageMargins left="0.70866141732283472" right="0.70866141732283472" top="0.74803149606299213" bottom="0.74803149606299213" header="0.31496062992125984" footer="0.31496062992125984"/>
  <pageSetup paperSize="9" scale="43" fitToWidth="5" orientation="portrait" r:id="rId1"/>
  <colBreaks count="5" manualBreakCount="5">
    <brk id="15" max="1048575" man="1"/>
    <brk id="29" max="1048575" man="1"/>
    <brk id="43" max="1048575" man="1"/>
    <brk id="57" max="1048575" man="1"/>
    <brk id="7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6DB02A-0F79-4023-BC25-723B5544766A}">
          <x14:formula1>
            <xm:f>Currency!$A$2:$A$32</xm:f>
          </x14:formula1>
          <xm:sqref>D5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B114-4CB5-4E4B-97ED-B6D18D9C0A75}">
  <sheetPr codeName="Ark20"/>
  <dimension ref="B1:D15"/>
  <sheetViews>
    <sheetView workbookViewId="0">
      <selection activeCell="D3" sqref="D3"/>
    </sheetView>
  </sheetViews>
  <sheetFormatPr defaultRowHeight="14.25" x14ac:dyDescent="0.2"/>
  <cols>
    <col min="2" max="2" width="36" customWidth="1"/>
    <col min="3" max="3" width="10.875" customWidth="1"/>
  </cols>
  <sheetData>
    <row r="1" spans="2:4" ht="23.25" x14ac:dyDescent="0.35">
      <c r="B1" s="263" t="s">
        <v>784</v>
      </c>
    </row>
    <row r="2" spans="2:4" ht="23.25" x14ac:dyDescent="0.35">
      <c r="B2" s="263"/>
    </row>
    <row r="3" spans="2:4" x14ac:dyDescent="0.2">
      <c r="B3" s="114" t="s">
        <v>776</v>
      </c>
      <c r="C3" s="114">
        <f>+'B1'!C14</f>
        <v>0</v>
      </c>
      <c r="D3" t="str">
        <f>+'B1'!D14</f>
        <v>If yes, provide a brief explanation of why 
AU has a monopoly on the activity. EBIT is changed to 0%</v>
      </c>
    </row>
    <row r="4" spans="2:4" x14ac:dyDescent="0.2">
      <c r="B4" s="114" t="s">
        <v>773</v>
      </c>
      <c r="C4" s="114">
        <f>+'B1'!C6</f>
        <v>25</v>
      </c>
    </row>
    <row r="5" spans="2:4" x14ac:dyDescent="0.2">
      <c r="B5" s="114" t="s">
        <v>774</v>
      </c>
      <c r="C5" s="114">
        <f>+'B1'!C7</f>
        <v>1485</v>
      </c>
    </row>
    <row r="6" spans="2:4" x14ac:dyDescent="0.2">
      <c r="B6" s="114" t="s">
        <v>775</v>
      </c>
      <c r="C6" s="114">
        <f>+'B1'!C13</f>
        <v>0</v>
      </c>
    </row>
    <row r="8" spans="2:4" x14ac:dyDescent="0.2">
      <c r="B8" s="114" t="s">
        <v>777</v>
      </c>
      <c r="C8" s="262">
        <f>+'B1'!AE30+'B1'!AE46+'B2'!AE30+'B2'!AE46+'B3'!AE30+'B3'!AE46+'B4'!AE30+'B4'!AE46+'B5'!AE30+'B5'!AE46</f>
        <v>7425</v>
      </c>
    </row>
    <row r="9" spans="2:4" x14ac:dyDescent="0.2">
      <c r="B9" s="114" t="s">
        <v>778</v>
      </c>
      <c r="C9" s="262">
        <f>+Total!N8</f>
        <v>3303900</v>
      </c>
    </row>
    <row r="10" spans="2:4" x14ac:dyDescent="0.2">
      <c r="B10" s="114" t="s">
        <v>779</v>
      </c>
      <c r="C10" s="262">
        <f>+Total!N11+Total!N12+Total!N13</f>
        <v>980350</v>
      </c>
    </row>
    <row r="11" spans="2:4" x14ac:dyDescent="0.2">
      <c r="B11" s="114" t="s">
        <v>780</v>
      </c>
      <c r="C11" s="262">
        <f>+Total!N9</f>
        <v>617500</v>
      </c>
    </row>
    <row r="12" spans="2:4" x14ac:dyDescent="0.2">
      <c r="B12" s="114" t="s">
        <v>545</v>
      </c>
      <c r="C12" s="262">
        <f>+Total!N14</f>
        <v>0</v>
      </c>
    </row>
    <row r="13" spans="2:4" x14ac:dyDescent="0.2">
      <c r="B13" s="114" t="s">
        <v>781</v>
      </c>
      <c r="C13" s="308"/>
      <c r="D13" s="1"/>
    </row>
    <row r="14" spans="2:4" x14ac:dyDescent="0.2">
      <c r="B14" s="114" t="s">
        <v>782</v>
      </c>
      <c r="C14" s="262">
        <f>C9+C10+C11+C12-C13</f>
        <v>4901750</v>
      </c>
    </row>
    <row r="15" spans="2:4" x14ac:dyDescent="0.2">
      <c r="B15" s="114" t="s">
        <v>783</v>
      </c>
      <c r="C15" s="308"/>
      <c r="D15" s="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7B4C-8E05-4F33-8A25-08C1E85CB97C}">
  <dimension ref="A2:D10"/>
  <sheetViews>
    <sheetView workbookViewId="0">
      <selection activeCell="A4" sqref="A4"/>
    </sheetView>
  </sheetViews>
  <sheetFormatPr defaultColWidth="9" defaultRowHeight="14.25" x14ac:dyDescent="0.2"/>
  <cols>
    <col min="1" max="1" width="23.375" style="277" customWidth="1"/>
    <col min="2" max="2" width="26.125" style="277" customWidth="1"/>
    <col min="3" max="3" width="21" style="277" customWidth="1"/>
    <col min="4" max="4" width="27.625" style="277" customWidth="1"/>
    <col min="5" max="16384" width="9" style="277"/>
  </cols>
  <sheetData>
    <row r="2" spans="1:4" x14ac:dyDescent="0.2">
      <c r="A2" s="278" t="s">
        <v>1131</v>
      </c>
    </row>
    <row r="3" spans="1:4" ht="15" x14ac:dyDescent="0.25">
      <c r="A3" s="279" t="s">
        <v>126</v>
      </c>
      <c r="B3" s="280" t="s">
        <v>127</v>
      </c>
      <c r="C3" s="280" t="s">
        <v>1132</v>
      </c>
      <c r="D3" s="281" t="s">
        <v>1133</v>
      </c>
    </row>
    <row r="4" spans="1:4" x14ac:dyDescent="0.2">
      <c r="A4" s="282"/>
      <c r="B4" s="283"/>
      <c r="C4" s="283"/>
      <c r="D4" s="284"/>
    </row>
    <row r="6" spans="1:4" ht="15" thickBot="1" x14ac:dyDescent="0.25">
      <c r="A6" s="285"/>
    </row>
    <row r="7" spans="1:4" ht="19.5" thickBot="1" x14ac:dyDescent="0.25">
      <c r="B7" s="286" t="str">
        <f>HYPERLINK("mailto:" &amp; A10 &amp; "?subject=New grant source or instrument&amp;body=" &amp; B10, "Submit")</f>
        <v>Submit</v>
      </c>
    </row>
    <row r="8" spans="1:4" x14ac:dyDescent="0.2">
      <c r="B8" s="278" t="s">
        <v>1134</v>
      </c>
    </row>
    <row r="9" spans="1:4" x14ac:dyDescent="0.2">
      <c r="B9" s="278" t="s">
        <v>1135</v>
      </c>
    </row>
    <row r="10" spans="1:4" hidden="1" x14ac:dyDescent="0.2">
      <c r="A10" s="287" t="s">
        <v>1136</v>
      </c>
      <c r="B10" s="277" t="str">
        <f>_xlfn.CONCAT("Please add this grant source or instrument: ","Grant source: ",A4," | Instrument: ",B4," | Overhead %: ",C4," | Project supplement: ",D4)</f>
        <v xml:space="preserve">Please add this grant source or instrument: Grant source:  | Instrument:  | Overhead %:  | Project supplement: </v>
      </c>
    </row>
  </sheetData>
  <hyperlinks>
    <hyperlink ref="A10" r:id="rId1" xr:uid="{9F484E4A-4382-4558-8347-EFEF89679A9D}"/>
  </hyperlinks>
  <pageMargins left="0.7" right="0.7" top="0.75" bottom="0.75" header="0.3" footer="0.3"/>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1B78F-A249-41BA-BBDB-7549D5A73A07}">
  <dimension ref="A2:C5"/>
  <sheetViews>
    <sheetView workbookViewId="0">
      <selection activeCell="C5" sqref="C5"/>
    </sheetView>
  </sheetViews>
  <sheetFormatPr defaultRowHeight="14.25" x14ac:dyDescent="0.2"/>
  <cols>
    <col min="1" max="1" width="9.875" bestFit="1" customWidth="1"/>
    <col min="3" max="3" width="74.75" customWidth="1"/>
  </cols>
  <sheetData>
    <row r="2" spans="1:3" ht="15" x14ac:dyDescent="0.25">
      <c r="A2" s="2" t="s">
        <v>1329</v>
      </c>
      <c r="B2" s="2" t="s">
        <v>1327</v>
      </c>
      <c r="C2" s="2" t="s">
        <v>1328</v>
      </c>
    </row>
    <row r="3" spans="1:3" ht="28.5" x14ac:dyDescent="0.2">
      <c r="A3" s="1" t="s">
        <v>1330</v>
      </c>
      <c r="B3" s="1" t="s">
        <v>1331</v>
      </c>
      <c r="C3" s="358" t="s">
        <v>1332</v>
      </c>
    </row>
    <row r="4" spans="1:3" ht="28.5" x14ac:dyDescent="0.2">
      <c r="A4" t="s">
        <v>1335</v>
      </c>
      <c r="B4" t="s">
        <v>1336</v>
      </c>
      <c r="C4" s="406" t="s">
        <v>1337</v>
      </c>
    </row>
    <row r="5" spans="1:3" ht="42.75" x14ac:dyDescent="0.2">
      <c r="A5" s="1" t="s">
        <v>1338</v>
      </c>
      <c r="B5" s="1" t="s">
        <v>1339</v>
      </c>
      <c r="C5" s="358" t="s">
        <v>1340</v>
      </c>
    </row>
  </sheetData>
  <sheetProtection algorithmName="SHA-512" hashValue="BHQt+5zJe21GzG8VJInKhHnLZmkIonJM7UlmWgJ9EXtftk6Mf0MX443y10HOmN/zWQU0oIXDtkH4+Jmlo33QkA==" saltValue="+g2FC3yGeR6ALlbdBsPlb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wnload xmlns="31192e01-de24-4c0c-ac9b-04ee30332ee0"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6DCF07123AA6E4A9BC05D25595D8C9F" ma:contentTypeVersion="6" ma:contentTypeDescription="Create a new document." ma:contentTypeScope="" ma:versionID="b1dcc7da20be80338db10014fd914b27">
  <xsd:schema xmlns:xsd="http://www.w3.org/2001/XMLSchema" xmlns:xs="http://www.w3.org/2001/XMLSchema" xmlns:p="http://schemas.microsoft.com/office/2006/metadata/properties" xmlns:ns2="31192e01-de24-4c0c-ac9b-04ee30332ee0" targetNamespace="http://schemas.microsoft.com/office/2006/metadata/properties" ma:root="true" ma:fieldsID="7622f945a6a091c5d278ff84e230827c" ns2:_="">
    <xsd:import namespace="31192e01-de24-4c0c-ac9b-04ee30332ee0"/>
    <xsd:element name="properties">
      <xsd:complexType>
        <xsd:sequence>
          <xsd:element name="documentManagement">
            <xsd:complexType>
              <xsd:all>
                <xsd:element ref="ns2:Download"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192e01-de24-4c0c-ac9b-04ee30332ee0" elementFormDefault="qualified">
    <xsd:import namespace="http://schemas.microsoft.com/office/2006/documentManagement/types"/>
    <xsd:import namespace="http://schemas.microsoft.com/office/infopath/2007/PartnerControls"/>
    <xsd:element name="Download" ma:index="8" nillable="true" ma:displayName="Download" ma:format="Dropdown" ma:internalName="Download">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C865CA-0194-49EC-B2DA-9368559A271B}">
  <ds:schemaRefs>
    <ds:schemaRef ds:uri="http://schemas.microsoft.com/sharepoint/v3/contenttype/forms"/>
  </ds:schemaRefs>
</ds:datastoreItem>
</file>

<file path=customXml/itemProps2.xml><?xml version="1.0" encoding="utf-8"?>
<ds:datastoreItem xmlns:ds="http://schemas.openxmlformats.org/officeDocument/2006/customXml" ds:itemID="{224FDAAB-F013-40F5-8AA5-4753D8B0F617}">
  <ds:schemaRefs>
    <ds:schemaRef ds:uri="http://schemas.microsoft.com/office/2006/metadata/properties"/>
    <ds:schemaRef ds:uri="http://purl.org/dc/dcmitype/"/>
    <ds:schemaRef ds:uri="http://schemas.microsoft.com/office/2006/documentManagement/types"/>
    <ds:schemaRef ds:uri="http://schemas.microsoft.com/sharepoint/v3/fields"/>
    <ds:schemaRef ds:uri="http://schemas.openxmlformats.org/package/2006/metadata/core-properties"/>
    <ds:schemaRef ds:uri="http://purl.org/dc/elements/1.1/"/>
    <ds:schemaRef ds:uri="ebaa4770-eb55-4624-8d0d-b31ef785d284"/>
    <ds:schemaRef ds:uri="http://www.w3.org/XML/1998/namespace"/>
    <ds:schemaRef ds:uri="http://purl.org/dc/terms/"/>
    <ds:schemaRef ds:uri="http://schemas.microsoft.com/office/infopath/2007/PartnerControls"/>
    <ds:schemaRef ds:uri="31192e01-de24-4c0c-ac9b-04ee30332ee0"/>
  </ds:schemaRefs>
</ds:datastoreItem>
</file>

<file path=customXml/itemProps3.xml><?xml version="1.0" encoding="utf-8"?>
<ds:datastoreItem xmlns:ds="http://schemas.openxmlformats.org/officeDocument/2006/customXml" ds:itemID="{77246784-3CE8-4737-8884-9E065A4E6D59}">
  <ds:schemaRefs>
    <ds:schemaRef ds:uri="http://schemas.microsoft.com/DataMashup"/>
  </ds:schemaRefs>
</ds:datastoreItem>
</file>

<file path=customXml/itemProps4.xml><?xml version="1.0" encoding="utf-8"?>
<ds:datastoreItem xmlns:ds="http://schemas.openxmlformats.org/officeDocument/2006/customXml" ds:itemID="{A61DC2C5-5B84-4049-80B4-6E66334DE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192e01-de24-4c0c-ac9b-04ee30332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F356FBA-E4B5-4B18-94EF-FFC993A7502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Takstblad</vt:lpstr>
      <vt:lpstr>GrantSource</vt:lpstr>
      <vt:lpstr>Instrument</vt:lpstr>
      <vt:lpstr>Section</vt:lpstr>
      <vt:lpstr>Economists</vt:lpstr>
      <vt:lpstr>Lister</vt:lpstr>
      <vt:lpstr>Guide</vt:lpstr>
      <vt:lpstr>ReAp</vt:lpstr>
      <vt:lpstr>Cover letter ING</vt:lpstr>
      <vt:lpstr>Cover letter</vt:lpstr>
      <vt:lpstr>Currency</vt:lpstr>
      <vt:lpstr>B1</vt:lpstr>
      <vt:lpstr>B2</vt:lpstr>
      <vt:lpstr>B3</vt:lpstr>
      <vt:lpstr>B4</vt:lpstr>
      <vt:lpstr>B5</vt:lpstr>
      <vt:lpstr>Total</vt:lpstr>
      <vt:lpstr>Total Other Currency</vt:lpstr>
      <vt:lpstr>PE</vt:lpstr>
      <vt:lpstr>Add new grant source</vt:lpstr>
      <vt:lpstr>Version control</vt:lpstr>
      <vt:lpstr>'B1'!Print_Area</vt:lpstr>
      <vt:lpstr>'B2'!Print_Area</vt:lpstr>
      <vt:lpstr>'B3'!Print_Area</vt:lpstr>
      <vt:lpstr>'B4'!Print_Area</vt:lpstr>
      <vt:lpstr>'B5'!Print_Area</vt:lpstr>
      <vt:lpstr>takstblad</vt:lpstr>
      <vt:lpstr>TAP</vt:lpstr>
      <vt:lpstr>'Cover letter'!Text3</vt:lpstr>
      <vt:lpstr>'Cover letter ING'!Text3</vt:lpstr>
      <vt:lpstr>VIP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Ansøgning til TF med 44 overhead</dc:title>
  <dc:creator>HSS, ØC ST Foulum</dc:creator>
  <cp:lastModifiedBy>Rasmus Nielsen</cp:lastModifiedBy>
  <cp:lastPrinted>2025-01-14T09:51:32Z</cp:lastPrinted>
  <dcterms:created xsi:type="dcterms:W3CDTF">2006-02-24T12:58:02Z</dcterms:created>
  <dcterms:modified xsi:type="dcterms:W3CDTF">2025-02-17T09:35:57Z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0x01010076DCF07123AA6E4A9BC05D25595D8C9F</vt:lpwstr>
  </property>
</Properties>
</file>